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1"/>
  </bookViews>
  <sheets>
    <sheet name="ДВ" sheetId="1" r:id="rId1"/>
    <sheet name="Форма по МДС 81-35.2004" sheetId="2" r:id="rId2"/>
    <sheet name="Ресурсы" sheetId="3" r:id="rId3"/>
    <sheet name="Базовые цены за единицу" sheetId="4" r:id="rId4"/>
    <sheet name="Текущие цены за единицу" sheetId="5" r:id="rId5"/>
    <sheet name="Базовые цены с учетом расхода" sheetId="6" r:id="rId6"/>
    <sheet name="Текущие цены с учетом расхода" sheetId="7" r:id="rId7"/>
    <sheet name="Начисления" sheetId="8" r:id="rId8"/>
    <sheet name="Определители" sheetId="9" r:id="rId9"/>
    <sheet name="Базовые концовки" sheetId="10" r:id="rId10"/>
    <sheet name="Текущие концовки" sheetId="11" r:id="rId11"/>
  </sheets>
  <definedNames/>
  <calcPr fullCalcOnLoad="1"/>
</workbook>
</file>

<file path=xl/sharedStrings.xml><?xml version="1.0" encoding="utf-8"?>
<sst xmlns="http://schemas.openxmlformats.org/spreadsheetml/2006/main" count="2976" uniqueCount="664">
  <si>
    <t>&lt; 54 * 1 * 1 &gt;</t>
  </si>
  <si>
    <t>ПК РИК (вер.1.3.100330) тел./факс (495) 347-33-01</t>
  </si>
  <si>
    <t xml:space="preserve">Стройка: </t>
  </si>
  <si>
    <t>Наружный водопровод по ул.Софьи Кочуровой</t>
  </si>
  <si>
    <t xml:space="preserve">Объект: </t>
  </si>
  <si>
    <t>ул.Софьи Кочуровой</t>
  </si>
  <si>
    <t>ЛОКАЛЬНАЯ СМЕТА № 1</t>
  </si>
  <si>
    <t>(Локальный сметный расчет)</t>
  </si>
  <si>
    <t>на устройство наружного водопровода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</si>
  <si>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</si>
  <si>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</si>
  <si>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</si>
  <si>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</si>
  <si>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</si>
  <si>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текущих ценах на 08.2010 г.</t>
  </si>
  <si>
    <t>№ поз</t>
  </si>
  <si>
    <t>Шифр, номер норматива, код ресурса</t>
  </si>
  <si>
    <t>Наименование работ и затрат, характеристика оборудования, масса</t>
  </si>
  <si>
    <t>Единица измерения</t>
  </si>
  <si>
    <t>Количество</t>
  </si>
  <si>
    <t>Сметная стоимость в текущих ценах</t>
  </si>
  <si>
    <t>Кол-во механиза-торов</t>
  </si>
  <si>
    <t>на единицу измерения</t>
  </si>
  <si>
    <t>по проектным данным</t>
  </si>
  <si>
    <t>общая</t>
  </si>
  <si>
    <t>Глобальные начисления: Н3= 1.15, Н4= 1.15, Н5= 1.15</t>
  </si>
  <si>
    <t>1.</t>
  </si>
  <si>
    <t>Е01-01-009-8</t>
  </si>
  <si>
    <t>Разработка грунта в траншеях экскаватором "обратная лопата" с ковшом вместимостью 0,65 (0,5-1) м3, группа грунтов: 2</t>
  </si>
  <si>
    <t>1000 м3 грунта</t>
  </si>
  <si>
    <t>sum</t>
  </si>
  <si>
    <t>1. 1.</t>
  </si>
  <si>
    <t>З1000-0001</t>
  </si>
  <si>
    <t>Затраты труда машинистов</t>
  </si>
  <si>
    <t>чел.-ч</t>
  </si>
  <si>
    <t>Ж</t>
  </si>
  <si>
    <t>1. 2.</t>
  </si>
  <si>
    <t>маш.-ч</t>
  </si>
  <si>
    <t>s</t>
  </si>
  <si>
    <t>IsMash</t>
  </si>
  <si>
    <t>mWithZTM</t>
  </si>
  <si>
    <t>mWithZPM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</si>
  <si>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</si>
  <si>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</si>
  <si>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</si>
  <si>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</si>
  <si>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</si>
  <si>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</si>
  <si>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</si>
  <si>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</si>
  <si>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</si>
  <si>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</si>
  <si>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</si>
  <si>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</si>
  <si>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</si>
  <si>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</si>
  <si>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</si>
  <si>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</si>
  <si>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</si>
  <si>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</si>
  <si>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</si>
  <si>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</si>
  <si>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</si>
  <si>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</si>
  <si>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Всего с НР и СП</t>
  </si>
  <si>
    <t>2.</t>
  </si>
  <si>
    <t>Е01-02-057-2</t>
  </si>
  <si>
    <t>100 м3 грунта</t>
  </si>
  <si>
    <t xml:space="preserve">   Начисления: Н5= 1.426</t>
  </si>
  <si>
    <t>2. 0.</t>
  </si>
  <si>
    <t>чел.ч</t>
  </si>
  <si>
    <t>2. 1.</t>
  </si>
  <si>
    <t>Г</t>
  </si>
  <si>
    <t>3.</t>
  </si>
  <si>
    <t>Е22-01-021-2</t>
  </si>
  <si>
    <t>Укладка трубопроводов из полиэтиленовых труб диаметром 65 мм</t>
  </si>
  <si>
    <t>км трубопровода</t>
  </si>
  <si>
    <t>3. 1.</t>
  </si>
  <si>
    <t>3. 2.</t>
  </si>
  <si>
    <t>3. 3.</t>
  </si>
  <si>
    <t>3. 4.</t>
  </si>
  <si>
    <t>3. 5.</t>
  </si>
  <si>
    <t>3. 6.</t>
  </si>
  <si>
    <t>3. 7.</t>
  </si>
  <si>
    <t>3. 8.</t>
  </si>
  <si>
    <t>м2</t>
  </si>
  <si>
    <t>IsMater</t>
  </si>
  <si>
    <t>3. 9.</t>
  </si>
  <si>
    <t>м3</t>
  </si>
  <si>
    <t>3. 10.</t>
  </si>
  <si>
    <t>м</t>
  </si>
  <si>
    <t>4.</t>
  </si>
  <si>
    <t>4. 0.</t>
  </si>
  <si>
    <t>4. 1.</t>
  </si>
  <si>
    <t>5.</t>
  </si>
  <si>
    <t>Е01-02-061-2</t>
  </si>
  <si>
    <t>Засыпка вручную траншей, пазух котлованов и ям, группа грунтов 2</t>
  </si>
  <si>
    <t>5. 0.</t>
  </si>
  <si>
    <t>5. 1.</t>
  </si>
  <si>
    <t>6.</t>
  </si>
  <si>
    <t>Е16-07-003-6</t>
  </si>
  <si>
    <t>врезка</t>
  </si>
  <si>
    <t>6. 1.</t>
  </si>
  <si>
    <t>6. 2.</t>
  </si>
  <si>
    <t>6. 3.</t>
  </si>
  <si>
    <t>6. 4.</t>
  </si>
  <si>
    <t>6. 5.</t>
  </si>
  <si>
    <t>6. 6.</t>
  </si>
  <si>
    <t>6. 7.</t>
  </si>
  <si>
    <t>6. 8.</t>
  </si>
  <si>
    <t>т</t>
  </si>
  <si>
    <t>6. 9.</t>
  </si>
  <si>
    <t>6. 10.</t>
  </si>
  <si>
    <t>6. 11.</t>
  </si>
  <si>
    <t>6. 12.</t>
  </si>
  <si>
    <t>шт.</t>
  </si>
  <si>
    <t>6. 13.</t>
  </si>
  <si>
    <t>6. 14.</t>
  </si>
  <si>
    <t>1000 шт.</t>
  </si>
  <si>
    <t>7.</t>
  </si>
  <si>
    <t>Е22-04-001-2</t>
  </si>
  <si>
    <t>Устройство круглых колодцев из сборного железобетона в грунтах мокрых</t>
  </si>
  <si>
    <t>10 м3 констр. колодцев</t>
  </si>
  <si>
    <t>7. 1.</t>
  </si>
  <si>
    <t>7. 2.</t>
  </si>
  <si>
    <t>7. 3.</t>
  </si>
  <si>
    <t>7. 4.</t>
  </si>
  <si>
    <t>7. 5.</t>
  </si>
  <si>
    <t>7. 6.</t>
  </si>
  <si>
    <t>7. 7.</t>
  </si>
  <si>
    <t>7. 8.</t>
  </si>
  <si>
    <t>7. 9.</t>
  </si>
  <si>
    <t>7. 10.</t>
  </si>
  <si>
    <t>7. 11.</t>
  </si>
  <si>
    <t>7. 12.</t>
  </si>
  <si>
    <t>с103-9200</t>
  </si>
  <si>
    <t>Люки чугунные</t>
  </si>
  <si>
    <t>с201-0755</t>
  </si>
  <si>
    <t>Отдельные конструктивные элементы зданий и сооружений с преобладанием горячекатаных профилей, средняя масса сборочной единицы до 0.1 т</t>
  </si>
  <si>
    <t>7. 13.</t>
  </si>
  <si>
    <t>7. 14.</t>
  </si>
  <si>
    <t>7. 15.</t>
  </si>
  <si>
    <t>7. 16.</t>
  </si>
  <si>
    <t>7. 17.</t>
  </si>
  <si>
    <t>7. 18.</t>
  </si>
  <si>
    <t>7. 19.</t>
  </si>
  <si>
    <t>7. 20.</t>
  </si>
  <si>
    <t>7. 21.</t>
  </si>
  <si>
    <t>7. 22.</t>
  </si>
  <si>
    <t>7. 23.</t>
  </si>
  <si>
    <t>8.</t>
  </si>
  <si>
    <t>Е01-01-033-2</t>
  </si>
  <si>
    <t>Засыпка траншей и котлованов с перемещением грунта до 5 м бульдозерами мощностью 59 (80) кВт (л.с.), 2 группа грунтов</t>
  </si>
  <si>
    <t>8. 1.</t>
  </si>
  <si>
    <t>8. 2.</t>
  </si>
  <si>
    <t>9.</t>
  </si>
  <si>
    <t>Е22-01-011-3</t>
  </si>
  <si>
    <t xml:space="preserve">   Начисления: Н3= 0.6, Н4= 0.6, Н5= 0.6</t>
  </si>
  <si>
    <t>9. 1.</t>
  </si>
  <si>
    <t>9. 2.</t>
  </si>
  <si>
    <t>9. 3.</t>
  </si>
  <si>
    <t>9. 4.</t>
  </si>
  <si>
    <t>9. 5.</t>
  </si>
  <si>
    <t>9. 6.</t>
  </si>
  <si>
    <t>9. 7.</t>
  </si>
  <si>
    <t>9. 8.</t>
  </si>
  <si>
    <t>9. 9.</t>
  </si>
  <si>
    <t>9. 10.</t>
  </si>
  <si>
    <t>с101-9412</t>
  </si>
  <si>
    <t>Шлифкруги</t>
  </si>
  <si>
    <t>10.</t>
  </si>
  <si>
    <t>Е22-05-002-1</t>
  </si>
  <si>
    <t>Продавливание без разработки грунта (прокол) на длину до 10 м труб диаметром 100 мм</t>
  </si>
  <si>
    <t>100 м продавливания</t>
  </si>
  <si>
    <t>10. 1.</t>
  </si>
  <si>
    <t>10. 2.</t>
  </si>
  <si>
    <t>10. 3.</t>
  </si>
  <si>
    <t>10. 4.</t>
  </si>
  <si>
    <t>10. 5.</t>
  </si>
  <si>
    <t>10. 6.</t>
  </si>
  <si>
    <t>10. 7.</t>
  </si>
  <si>
    <t>10. 8.</t>
  </si>
  <si>
    <t>10. 9.</t>
  </si>
  <si>
    <t>10. 10.</t>
  </si>
  <si>
    <t>10. 11.</t>
  </si>
  <si>
    <t>10. 12.</t>
  </si>
  <si>
    <t>11.</t>
  </si>
  <si>
    <t>С-1.</t>
  </si>
  <si>
    <t>11. 0.</t>
  </si>
  <si>
    <t>11. 1.</t>
  </si>
  <si>
    <t>12.</t>
  </si>
  <si>
    <t>С-2.</t>
  </si>
  <si>
    <t>12. 0.</t>
  </si>
  <si>
    <t>12. 1.</t>
  </si>
  <si>
    <t>13.</t>
  </si>
  <si>
    <t>С-3.</t>
  </si>
  <si>
    <t>13. 0.</t>
  </si>
  <si>
    <t>13. 1.</t>
  </si>
  <si>
    <t>14.</t>
  </si>
  <si>
    <t>С-4.</t>
  </si>
  <si>
    <t>14. 0.</t>
  </si>
  <si>
    <t>14. 1.</t>
  </si>
  <si>
    <t>15.</t>
  </si>
  <si>
    <t>С-5.</t>
  </si>
  <si>
    <t>15. 0.</t>
  </si>
  <si>
    <t>15. 1.</t>
  </si>
  <si>
    <t>16.</t>
  </si>
  <si>
    <t>С-6.</t>
  </si>
  <si>
    <t>16. 0.</t>
  </si>
  <si>
    <t>16. 1.</t>
  </si>
  <si>
    <t>17.</t>
  </si>
  <si>
    <t>С-7.</t>
  </si>
  <si>
    <t>17. 0.</t>
  </si>
  <si>
    <t>17. 1.</t>
  </si>
  <si>
    <t>18.</t>
  </si>
  <si>
    <t>С-8.</t>
  </si>
  <si>
    <t>18. 0.</t>
  </si>
  <si>
    <t>18. 1.</t>
  </si>
  <si>
    <t>19.</t>
  </si>
  <si>
    <t>С-9.</t>
  </si>
  <si>
    <t>19. 0.</t>
  </si>
  <si>
    <t>19. 1.</t>
  </si>
  <si>
    <t>20.</t>
  </si>
  <si>
    <t>С-10.</t>
  </si>
  <si>
    <t>20. 0.</t>
  </si>
  <si>
    <t>20. 1.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</si>
  <si>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</si>
  <si>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</si>
  <si>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</si>
  <si>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</si>
  <si>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</si>
  <si>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</si>
  <si>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</si>
  <si>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</si>
  <si>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</si>
  <si>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</si>
  <si>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</si>
  <si>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</si>
  <si>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</si>
  <si>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</si>
  <si>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</si>
  <si>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</si>
  <si>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</si>
  <si>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</si>
  <si>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 НР с коэф. 0,94</t>
  </si>
  <si>
    <t>.   СМЕТНАЯ ПРИБЫЛЬ -</t>
  </si>
  <si>
    <t>ВСЕГО, СТОИМОСТЬ МОНТАЖНЫХ РАБОТ -</t>
  </si>
  <si>
    <t xml:space="preserve"> ВСЕГО, СТОИМОСТЬ МОНТАЖНЫХ РАБОТ С НР 0,94</t>
  </si>
  <si>
    <t>СТОИМОСТЬ ОБЩЕСТРОИТЕЛЬНЫХ РАБОТ -</t>
  </si>
  <si>
    <t>.       МАТЕРИАЛОВ -</t>
  </si>
  <si>
    <t>.   НАКЛАДНЫЕ РАСХОДЫ - (%=85.5 - по стр. 1, 8; %=72 - по стр. 2, 4, 5; %=117 - по стр. 3, 7, 9, 10)</t>
  </si>
  <si>
    <t>.   СМЕТНАЯ ПРИБЫЛЬ - (%=42.5 - по стр. 1, 8; %=38.25 - по стр. 2, 4, 5; %=75.65 - по стр. 3, 7, 9, 10)</t>
  </si>
  <si>
    <t>ВСЕГО, СТОИМОСТЬ ОБЩЕСТРОИТЕЛЬНЫХ РАБОТ -</t>
  </si>
  <si>
    <t xml:space="preserve"> ВСЕГО, СТОИМОСТЬ ОБЩЕСТРОИТЕЛЬНЫХ РАБОТ С НР 0,94</t>
  </si>
  <si>
    <t>СТОИМОСТЬ МЕТАЛЛОМОНТАЖНЫХ РАБОТ -</t>
  </si>
  <si>
    <t>ВСЕГО, СТОИМОСТЬ МЕТАЛЛОМОНТАЖНЫХ РАБОТ -</t>
  </si>
  <si>
    <t xml:space="preserve"> ВСЕГО, СТОИМОСТЬ  МЕТАЛЛОМОНТАЖНЫХ РАБОТ С НР 0,94</t>
  </si>
  <si>
    <t>СТОИМОСТЬ САНТЕХНИЧЕСКИХ РАБОТ -</t>
  </si>
  <si>
    <t>. СДАЧА И ИСПЫТАНИЕ -</t>
  </si>
  <si>
    <t>.   НАКЛАДНЫЕ РАСХОДЫ - (%=115.2 - по стр. 6)</t>
  </si>
  <si>
    <t>.   СМЕТНАЯ ПРИБЫЛЬ - (%=70.55 - по стр. 6)</t>
  </si>
  <si>
    <t>ВСЕГО, СТОИМОСТЬ САНТЕХНИЧЕСКИХ РАБОТ -</t>
  </si>
  <si>
    <t xml:space="preserve"> ВСЕГО, СТОИМОСТЬ САНТЕХНИЧЕСКИХ РАБОТ С НР 0,94</t>
  </si>
  <si>
    <t>СТОИМОСТЬ БУРО-ВЗРЫВНЫХ РАБОТ -</t>
  </si>
  <si>
    <t>ВСЕГО, СТОИМОСТЬ БУРО-ВЗРЫВНЫХ РАБОТ -</t>
  </si>
  <si>
    <t xml:space="preserve"> ВСЕГО, СТОИМОСТЬ БУРО-ВЗРЫВНЫХ РАБОТ С НР 0,94</t>
  </si>
  <si>
    <t>СТОИМОСТЬ ГОРНОПРОХОДЧЕСКИХ РАБОТ -</t>
  </si>
  <si>
    <t>ВСЕГО, СТОИМОСТЬ ГОРНОПРОХОДЧЕСКИХ РАБОТ -</t>
  </si>
  <si>
    <t xml:space="preserve"> ВСЕГО, СТОИМОСТЬ ГОРНОПРОХОДЧЕСКИХ РАБОТ С НР 0,94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</si>
  <si>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</si>
  <si>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</si>
  <si>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</si>
  <si>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</si>
  <si>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 xml:space="preserve"> ВСЕГО, СТОИМОСТЬ РЕСТАВРАЦИОННЫХ РАБОТ С НР 0,94</t>
  </si>
  <si>
    <t>СТОИМОСТЬ ПУСКОНАЛАДОЧНЫХ PАБОТ -</t>
  </si>
  <si>
    <t>ВСЕГО, СТОИМОСТЬ ПУСКОНАЛАДОЧНЫХ PАБОТ -</t>
  </si>
  <si>
    <t xml:space="preserve"> ВСЕГО, СТОИМОСТЬ ПУСКОНАЛАДОЧНЫХ РАБОТ С НР 0,94</t>
  </si>
  <si>
    <t>СТОИМОСТЬ ПРОЧИХ PАБОТ (С НАКЛ. И ПЛАН.) -</t>
  </si>
  <si>
    <t>ВСЕГО, СТОИМОСТЬ ПPОЧИХ PАБОТ (С НАКЛ. И ПЛАН.) -</t>
  </si>
  <si>
    <t xml:space="preserve"> ВСЕГО, СТОИМОСТЬ ПРОЧИХ РАБОТ (С НАКЛ. И ПЛАН.) С НР 0,94</t>
  </si>
  <si>
    <t>ВСЕГО, СТОИМОСТЬ ПPОЧИХ PАБОТ (БЕЗ НАКЛ. И ПЛАН.) -</t>
  </si>
  <si>
    <t>. ВСЕГО  ПО  СМЕТЕ</t>
  </si>
  <si>
    <t>НР с коэф-том 0,94</t>
  </si>
  <si>
    <t>ВСЕГО  ПО  СМЕТЕ</t>
  </si>
  <si>
    <t>НДС 18%</t>
  </si>
  <si>
    <t>ВСЕГО С НДС 18%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</si>
  <si>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</si>
  <si>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</si>
  <si>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</si>
  <si>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</si>
  <si>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</si>
  <si>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</si>
  <si>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</si>
  <si>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</si>
  <si>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</si>
  <si>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</si>
  <si>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</si>
  <si>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(должность, подпись, Ф.И.О)</t>
  </si>
  <si>
    <t>Проверил:</t>
  </si>
  <si>
    <t>Шифр</t>
  </si>
  <si>
    <t>Наименование</t>
  </si>
  <si>
    <t>Цена за единицу</t>
  </si>
  <si>
    <t>В том числе</t>
  </si>
  <si>
    <t>Кол-во механизаторов</t>
  </si>
  <si>
    <t>Tag</t>
  </si>
  <si>
    <t>базовая</t>
  </si>
  <si>
    <t>текущая</t>
  </si>
  <si>
    <t>З000-1001-5</t>
  </si>
  <si>
    <t>Рабочие-строители (средний разряд 1.5)</t>
  </si>
  <si>
    <t>0</t>
  </si>
  <si>
    <t>З000-1002-0</t>
  </si>
  <si>
    <t>Рабочие-строители (средний разряд 2.0)</t>
  </si>
  <si>
    <t>З000-1003-7</t>
  </si>
  <si>
    <t>Рабочие-строители (средний разряд 3.7)</t>
  </si>
  <si>
    <t>З000-1004-0</t>
  </si>
  <si>
    <t>Рабочие-строители (средний разряд 4.0)</t>
  </si>
  <si>
    <t>З000-1004-1</t>
  </si>
  <si>
    <t>Рабочие-строители (средний разряд 4.1)</t>
  </si>
  <si>
    <t>З000-1004-5</t>
  </si>
  <si>
    <t>Рабочие-строители (средний разряд 4.5)</t>
  </si>
  <si>
    <t>С101-0253</t>
  </si>
  <si>
    <t>Известь строительная негашеная комовая, сорт 1</t>
  </si>
  <si>
    <t>С101-0311</t>
  </si>
  <si>
    <t>Каболка</t>
  </si>
  <si>
    <t>С101-0324</t>
  </si>
  <si>
    <t>Кислород технический газообразный</t>
  </si>
  <si>
    <t>С101-0594</t>
  </si>
  <si>
    <t>Мастика битумная кровельная горячая</t>
  </si>
  <si>
    <t>С101-1300</t>
  </si>
  <si>
    <t>Топливо моторное для среднеоборотных и малооборотных дизелей марки ДТ</t>
  </si>
  <si>
    <t>С101-1513</t>
  </si>
  <si>
    <t>Электроды диаметром 4 мм Э42</t>
  </si>
  <si>
    <t>С101-1522</t>
  </si>
  <si>
    <t>Электроды диаметром 5 мм Э42А</t>
  </si>
  <si>
    <t>С101-1602</t>
  </si>
  <si>
    <t>Ацетилен газообразный технический</t>
  </si>
  <si>
    <t>С101-1742</t>
  </si>
  <si>
    <t>Толь с крупнозернистой посыпкой гидроизоляционный марки ТГ-350</t>
  </si>
  <si>
    <t>С101-1805</t>
  </si>
  <si>
    <t>Гвозди строительные</t>
  </si>
  <si>
    <t>С102-0025</t>
  </si>
  <si>
    <t>Пиломатериалы хвойных пород. Бруски обрезные длиной 4-6.5 м, шириной 75-150 мм, толщиной 40-75 мм III сорта</t>
  </si>
  <si>
    <t>С103-0357</t>
  </si>
  <si>
    <t>Трубы стальные бесшовные, горячедеформированные со снятой фаской из стали марок 15, 20, 25 наружный диаметр 57 мм толщина стенки 3.5 мм</t>
  </si>
  <si>
    <t>С103-1009</t>
  </si>
  <si>
    <t>Фасонные стальные сварные части диаметр до 800 мм</t>
  </si>
  <si>
    <t>С103-9011</t>
  </si>
  <si>
    <t>Трубы стальные</t>
  </si>
  <si>
    <t>С203-0512</t>
  </si>
  <si>
    <t>Щиты из досок толщиной 40 мм</t>
  </si>
  <si>
    <t>С204-9001</t>
  </si>
  <si>
    <t>Арматура</t>
  </si>
  <si>
    <t>С300-0040</t>
  </si>
  <si>
    <t>Болты с гайками и шайбами для санитарно-технических работ, диаметром 16 мм</t>
  </si>
  <si>
    <t>С300-9009</t>
  </si>
  <si>
    <t>Арматура фланцевая</t>
  </si>
  <si>
    <t>С300-9507</t>
  </si>
  <si>
    <t>Фланцы стальные</t>
  </si>
  <si>
    <t>С401-0003</t>
  </si>
  <si>
    <t>Бетон тяжелый, класс В 7,5 (М100)</t>
  </si>
  <si>
    <t>С401-0004</t>
  </si>
  <si>
    <t>Бетон тяжелый, класс В 10 (М150)</t>
  </si>
  <si>
    <t>С402-9050</t>
  </si>
  <si>
    <t>Раствор цементный</t>
  </si>
  <si>
    <t>С402-9086</t>
  </si>
  <si>
    <t>Раствор асбоцементный</t>
  </si>
  <si>
    <t>С410-9031</t>
  </si>
  <si>
    <t>Смеси асфальтобетонные дорожные мелкозернистые и среднезернистые щебеночные типа Б марки 1</t>
  </si>
  <si>
    <t>С411-0001</t>
  </si>
  <si>
    <t>Вода</t>
  </si>
  <si>
    <t>С440-9152</t>
  </si>
  <si>
    <t>Кольца для колодцев сборные железобетонные диаметром 700 мм</t>
  </si>
  <si>
    <t>С440-9153</t>
  </si>
  <si>
    <t>Кольца для колодцев сборные железобетонные диаметром 1500 мм</t>
  </si>
  <si>
    <t>С445-3120</t>
  </si>
  <si>
    <t>Плиты железобетонные покрытий, перекрытий и днищ</t>
  </si>
  <si>
    <t>С530-9001</t>
  </si>
  <si>
    <t>Трубы полиэтиленовые</t>
  </si>
  <si>
    <t>С541-0063</t>
  </si>
  <si>
    <t>Прокладки из паронита марки ПМБ, толщиной 1 мм, диаметром 50 мм</t>
  </si>
  <si>
    <t>Х02-0129</t>
  </si>
  <si>
    <t>Краны башенные при работе на других видах строительства (кроме монтажа технологического оборудования) 8 т</t>
  </si>
  <si>
    <t>Х02-1141</t>
  </si>
  <si>
    <t>Краны на автомобильном ходу при работе на других видах строительства 10 т</t>
  </si>
  <si>
    <t>Х03-1851</t>
  </si>
  <si>
    <t>Краны переносные 1 т</t>
  </si>
  <si>
    <t>Х04-0102</t>
  </si>
  <si>
    <t>Электростанции передвижные 4 кВт</t>
  </si>
  <si>
    <t>Х04-0103</t>
  </si>
  <si>
    <t>Электростанции передвижные 30 кВт</t>
  </si>
  <si>
    <t>Х04-0202</t>
  </si>
  <si>
    <t>Агрегаты сварочные передвижные с номинальным сварочным током 250-400 А с дизельным двигателем</t>
  </si>
  <si>
    <t>Х04-0502</t>
  </si>
  <si>
    <t>Установки для сварки ручной дуговой (постоянного тока)</t>
  </si>
  <si>
    <t>Х04-0504</t>
  </si>
  <si>
    <t>Аппараты для газовой сварки и резки</t>
  </si>
  <si>
    <t>Х04-1401</t>
  </si>
  <si>
    <t>Печи электрические для сушки сварочных материалов с регулированием температуры в пределах 80-500 гр. С при работе от передвижных электростанций</t>
  </si>
  <si>
    <t>Х04-2901</t>
  </si>
  <si>
    <t>Установки для гидравлических испытаний трубопроводов, давление нагнетания, низкое 0,1 (1) МПа (кгс/см2), высокое 10 (100) МПа (кгс/см2) при работе от передвижных электростанций</t>
  </si>
  <si>
    <t>Х06-0248</t>
  </si>
  <si>
    <t>Экскаваторы одноковшовые дизельные на гусеничном ходу при работе на других видах строительства (кроме водохозяйственного) 0,65 м3</t>
  </si>
  <si>
    <t>Х07-0117</t>
  </si>
  <si>
    <t>Бульдозеры при работе на сооружении магистральных трубопроводов 96 (130) кВт (л.с.)</t>
  </si>
  <si>
    <t>Х07-0148</t>
  </si>
  <si>
    <t>Бульдозеры при работе на других видах строительства (кроме водохозяйственного) 59 (80) кВт (л.с.)</t>
  </si>
  <si>
    <t>Х08-1600</t>
  </si>
  <si>
    <t>Агрегаты для сварки полиэтиленовых труб</t>
  </si>
  <si>
    <t>Х12-1011</t>
  </si>
  <si>
    <t>Котлы битумные передвижные 400 л</t>
  </si>
  <si>
    <t>Х15-0202</t>
  </si>
  <si>
    <t>Агрегаты сварочные двухпостовые для ручной сварки на тракторе 79 кВт (108 л.с.)</t>
  </si>
  <si>
    <t>Х15-1700</t>
  </si>
  <si>
    <t>Установки для подогрева стыков</t>
  </si>
  <si>
    <t>Х25-3511</t>
  </si>
  <si>
    <t>Установки гидравлические для труб, длиной продавливания до 20 м (УПК-2,5) при работе от передвижных электростанций</t>
  </si>
  <si>
    <t>Х33-0301</t>
  </si>
  <si>
    <t>Машины шлифовальные электрические</t>
  </si>
  <si>
    <t>Х40-0001</t>
  </si>
  <si>
    <t>Автомобили бортовые грузоподъемностью до 5 т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</si>
  <si>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</si>
  <si>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</si>
  <si>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</si>
  <si>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</si>
  <si>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</si>
  <si>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</si>
  <si>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</si>
  <si>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</si>
  <si>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</si>
  <si>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</si>
  <si>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</si>
  <si>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</si>
  <si>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</si>
  <si>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</si>
  <si>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</si>
  <si>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</si>
  <si>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</si>
  <si>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</si>
  <si>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</si>
  <si>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</si>
  <si>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</si>
  <si>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</si>
  <si>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</si>
  <si>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</si>
  <si>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</si>
  <si>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</si>
  <si>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</si>
  <si>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</si>
  <si>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</si>
  <si>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54 * 1 * 1 &gt;</t>
  </si>
  <si>
    <t xml:space="preserve">          устройство наружного водопровода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</si>
  <si>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</si>
  <si>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</si>
  <si>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</si>
  <si>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</si>
  <si>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</si>
  <si>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</si>
  <si>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</si>
  <si>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</si>
  <si>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</si>
  <si>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</si>
  <si>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</si>
  <si>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</si>
  <si>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</si>
  <si>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</si>
  <si>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</si>
  <si>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</si>
  <si>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</si>
  <si>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</si>
  <si>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</si>
  <si>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</si>
  <si>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</si>
  <si>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</si>
  <si>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</si>
  <si>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</si>
  <si>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</si>
  <si>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</si>
  <si>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</si>
  <si>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</si>
  <si>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</si>
  <si>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</si>
  <si>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</si>
  <si>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</si>
  <si>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</si>
  <si>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</si>
  <si>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</si>
  <si>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</si>
  <si>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</si>
  <si>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</si>
  <si>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</si>
  <si>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</si>
  <si>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</si>
  <si>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</si>
  <si>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</si>
  <si>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</si>
  <si>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</si>
  <si>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</si>
  <si>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</si>
  <si>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</si>
  <si>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</si>
  <si>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</si>
  <si>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</si>
  <si>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</si>
  <si>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</si>
  <si>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</si>
  <si>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</si>
  <si>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</si>
  <si>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</si>
  <si>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</si>
  <si>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</si>
  <si>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</si>
  <si>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</si>
  <si>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</si>
  <si>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</si>
  <si>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</si>
  <si>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</si>
  <si>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</si>
  <si>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</si>
  <si>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</si>
  <si>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</si>
  <si>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</si>
  <si>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</si>
  <si>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</si>
  <si>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</si>
  <si>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</si>
  <si>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</si>
  <si>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</si>
  <si>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</si>
  <si>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</si>
  <si>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</si>
  <si>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</si>
  <si>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</si>
  <si>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</si>
  <si>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</si>
  <si>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</si>
  <si>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</si>
  <si>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</si>
  <si>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</si>
  <si>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</si>
  <si>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</si>
  <si>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</si>
  <si>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</si>
  <si>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</si>
  <si>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</si>
  <si>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</si>
  <si>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</si>
  <si>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</si>
  <si>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</si>
  <si>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</si>
  <si>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</si>
  <si>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</si>
  <si>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</si>
  <si>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</si>
  <si>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</si>
  <si>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</si>
  <si>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</si>
  <si>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</si>
  <si>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</si>
  <si>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</si>
  <si>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</si>
  <si>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</si>
  <si>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</si>
  <si>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</si>
  <si>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</si>
  <si>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</si>
  <si>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</si>
  <si>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</si>
  <si>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</si>
  <si>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</si>
  <si>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</si>
  <si>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</si>
  <si>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</si>
  <si>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</si>
  <si>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</si>
  <si>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</si>
  <si>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</si>
  <si>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</si>
  <si>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</si>
  <si>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</si>
  <si>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</si>
  <si>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</si>
  <si>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</si>
  <si>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</si>
  <si>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</si>
  <si>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</si>
  <si>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</si>
  <si>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</si>
  <si>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</si>
  <si>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</si>
  <si>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</si>
  <si>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</si>
  <si>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</si>
  <si>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</si>
  <si>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</si>
  <si>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</si>
  <si>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</si>
  <si>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</si>
  <si>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</si>
  <si>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</si>
  <si>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</si>
  <si>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</si>
  <si>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</si>
  <si>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</si>
  <si>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</si>
  <si>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</si>
  <si>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</si>
  <si>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</si>
  <si>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</si>
  <si>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</si>
  <si>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</si>
  <si>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</si>
  <si>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</si>
  <si>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</si>
  <si>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</si>
  <si>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</si>
  <si>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%</t>
  </si>
  <si>
    <t>91</t>
  </si>
  <si>
    <t>92</t>
  </si>
  <si>
    <t>93</t>
  </si>
  <si>
    <t>94</t>
  </si>
  <si>
    <t>95</t>
  </si>
  <si>
    <t>h</t>
  </si>
  <si>
    <t>96</t>
  </si>
  <si>
    <t>97</t>
  </si>
  <si>
    <t>98</t>
  </si>
  <si>
    <t>99</t>
  </si>
  <si>
    <t>100</t>
  </si>
  <si>
    <t>101</t>
  </si>
  <si>
    <t>102</t>
  </si>
  <si>
    <t>Утверждаю</t>
  </si>
  <si>
    <t>Генеральный директор ООО "Строй-Проект"</t>
  </si>
  <si>
    <t>Согласовано</t>
  </si>
  <si>
    <t>Генеральный директор ООО "Управляющая компания Альянс"</t>
  </si>
  <si>
    <t>Иванов С.А.______________________</t>
  </si>
  <si>
    <t>Доработка грунта вручную в траншеях глубиной до 2 м без креплений с откосами, группа грунтов 2</t>
  </si>
  <si>
    <t>Врезки в действующие внутренние сети трубопроводов диаметром 50 мм</t>
  </si>
  <si>
    <t>Демонтаж водопроводных труб  диаметром 100 мм</t>
  </si>
  <si>
    <t>куб.м</t>
  </si>
  <si>
    <t>Водоотлив из траншей</t>
  </si>
  <si>
    <t>мп</t>
  </si>
  <si>
    <t>шт</t>
  </si>
  <si>
    <t>калькуляция</t>
  </si>
  <si>
    <t>Труба полиэтиленовая д.63мм</t>
  </si>
  <si>
    <t xml:space="preserve">Плиты железобетонные перекрытий </t>
  </si>
  <si>
    <t>Кран шаровый д.50мм</t>
  </si>
  <si>
    <t>Муфта д.50мм</t>
  </si>
  <si>
    <t>Контргайка д.50мм</t>
  </si>
  <si>
    <t>Сгон</t>
  </si>
  <si>
    <t>Фитинг д.63мм</t>
  </si>
  <si>
    <t>Кольцо КС-10-9</t>
  </si>
  <si>
    <t>Выполнение работ в заболоченной местности</t>
  </si>
  <si>
    <t>Итого</t>
  </si>
  <si>
    <t>Стройка:Наружный водопровод по ул.Софьи Кочуровой</t>
  </si>
  <si>
    <t>Объект:ул.Софьи Кочуровой</t>
  </si>
  <si>
    <t>ДЕФЕКТНАЯ ВЕДОМОСТЬ</t>
  </si>
  <si>
    <t>Садиков Ю.А._____________</t>
  </si>
  <si>
    <t>УТВЕРЖДАЮ:</t>
  </si>
  <si>
    <t>Главный врач МУ "Сандовская ЦРБ"</t>
  </si>
  <si>
    <t>_______________ Н.А.Гудкова</t>
  </si>
  <si>
    <t>СОГЛАСОВАНО:</t>
  </si>
  <si>
    <t>Заместитель Главы Сандовского района</t>
  </si>
  <si>
    <t>_________________ Г.Ю.Носкова</t>
  </si>
  <si>
    <t>генеральный директор ООО "Строй-Проект" г. Тверь Иванов С.А.</t>
  </si>
  <si>
    <t>Приложение №1 к Извещению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</si>
</sst>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##;\-#,##0.##;"/>
    <numFmt numFmtId="167" formatCode="#,##0.###;\-#,##0.###;"/>
    <numFmt numFmtId="168" formatCode="#,##0.00;\-#,##0.00;#,##0.00"/>
    <numFmt numFmtId="169" formatCode="#,##0.00######################"/>
    <numFmt numFmtId="170" formatCode="#,##0.00000000;\-#,##0.00000000;#,##0.00000000"/>
    <numFmt numFmtId="171" formatCode="#,##0.00_ ;\-#,##0.00\ "/>
  </numFmts>
  <fonts count="23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94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4" fontId="0" fillId="0" borderId="10" xfId="0" applyNumberFormat="1" applyFont="1" applyBorder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165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18" xfId="0" applyNumberFormat="1" applyBorder="1" applyAlignment="1">
      <alignment horizontal="left" vertical="top"/>
    </xf>
    <xf numFmtId="49" fontId="0" fillId="0" borderId="18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2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horizontal="righ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J219"/>
  <sheetViews>
    <sheetView zoomScalePageLayoutView="0" workbookViewId="0" topLeftCell="A1">
      <selection activeCell="B217" sqref="B217"/>
    </sheetView>
  </sheetViews>
  <sheetFormatPr defaultColWidth="9.140625" defaultRowHeight="10.5"/>
  <cols>
    <col min="1" max="1" width="4.7109375" style="1" customWidth="1"/>
    <col min="2" max="2" width="55.140625" style="1" customWidth="1"/>
    <col min="3" max="3" width="15.7109375" style="1" customWidth="1"/>
    <col min="4" max="4" width="19.421875" style="1" customWidth="1"/>
    <col min="5" max="9" width="9.140625" style="1" hidden="1" customWidth="1"/>
    <col min="10" max="10" width="0.2890625" style="1" customWidth="1"/>
    <col min="11" max="16384" width="9.140625" style="1" customWidth="1"/>
  </cols>
  <sheetData>
    <row r="1" spans="1:2" ht="10.5">
      <c r="A1" s="2" t="s">
        <v>0</v>
      </c>
      <c r="B1" s="2" t="s">
        <v>1</v>
      </c>
    </row>
    <row r="2" spans="2:4" ht="10.5" customHeight="1">
      <c r="B2" s="46" t="s">
        <v>629</v>
      </c>
      <c r="C2" s="64" t="s">
        <v>631</v>
      </c>
      <c r="D2" s="64"/>
    </row>
    <row r="3" spans="2:4" ht="10.5">
      <c r="B3" s="46"/>
      <c r="C3" s="46"/>
      <c r="D3" s="46"/>
    </row>
    <row r="4" spans="2:4" ht="20.25" customHeight="1">
      <c r="B4" s="46" t="s">
        <v>630</v>
      </c>
      <c r="C4" s="64" t="s">
        <v>632</v>
      </c>
      <c r="D4" s="64"/>
    </row>
    <row r="5" spans="2:4" ht="10.5">
      <c r="B5" s="46"/>
      <c r="C5" s="46"/>
      <c r="D5" s="46"/>
    </row>
    <row r="6" spans="2:4" ht="10.5" customHeight="1">
      <c r="B6" s="46" t="s">
        <v>633</v>
      </c>
      <c r="C6" s="64" t="s">
        <v>655</v>
      </c>
      <c r="D6" s="64"/>
    </row>
    <row r="10" ht="10.5">
      <c r="B10" s="52" t="s">
        <v>652</v>
      </c>
    </row>
    <row r="11" ht="10.5">
      <c r="B11" s="52" t="s">
        <v>653</v>
      </c>
    </row>
    <row r="12" spans="1:4" ht="10.5">
      <c r="A12" s="65" t="s">
        <v>654</v>
      </c>
      <c r="B12" s="66"/>
      <c r="C12" s="66"/>
      <c r="D12" s="66"/>
    </row>
    <row r="13" spans="1:4" ht="10.5">
      <c r="A13" s="63" t="s">
        <v>8</v>
      </c>
      <c r="B13" s="63"/>
      <c r="C13" s="63"/>
      <c r="D13" s="63"/>
    </row>
    <row r="14" ht="4.5" customHeight="1"/>
    <row r="15" spans="1:4" ht="33" customHeight="1">
      <c r="A15" s="67" t="s">
        <v>15</v>
      </c>
      <c r="B15" s="67" t="s">
        <v>17</v>
      </c>
      <c r="C15" s="67" t="s">
        <v>18</v>
      </c>
      <c r="D15" s="67" t="s">
        <v>19</v>
      </c>
    </row>
    <row r="16" spans="1:4" ht="10.5" customHeight="1">
      <c r="A16" s="68"/>
      <c r="B16" s="68"/>
      <c r="C16" s="68"/>
      <c r="D16" s="68"/>
    </row>
    <row r="17" spans="1:4" ht="10.5">
      <c r="A17" s="51">
        <v>1</v>
      </c>
      <c r="B17" s="51">
        <v>2</v>
      </c>
      <c r="C17" s="51">
        <v>3</v>
      </c>
      <c r="D17" s="51">
        <v>4</v>
      </c>
    </row>
    <row r="18" spans="1:10" ht="21.75" customHeight="1">
      <c r="A18" s="53" t="s">
        <v>26</v>
      </c>
      <c r="B18" s="53" t="s">
        <v>28</v>
      </c>
      <c r="C18" s="54" t="s">
        <v>29</v>
      </c>
      <c r="D18" s="55">
        <v>1.5</v>
      </c>
      <c r="E18" s="1" t="s">
        <v>30</v>
      </c>
      <c r="I18" s="13" t="e">
        <f>ROUND(СУММПРОИЗВЕСЛИ(1,E18:E18,"s",#REF!,I18:I18,0),2)</f>
        <v>#VALUE!</v>
      </c>
      <c r="J18" s="13" t="e">
        <f>ROUND(СУММПРОИЗВЕСЛИ(D18,E18:E18,"s",#REF!,I18:I18,0),2)</f>
        <v>#VALUE!</v>
      </c>
    </row>
    <row r="19" spans="1:10" ht="21">
      <c r="A19" s="53" t="s">
        <v>65</v>
      </c>
      <c r="B19" s="53" t="s">
        <v>634</v>
      </c>
      <c r="C19" s="54" t="s">
        <v>67</v>
      </c>
      <c r="D19" s="55">
        <v>0.75</v>
      </c>
      <c r="E19" s="1" t="s">
        <v>30</v>
      </c>
      <c r="I19" s="13" t="e">
        <f>ROUND(СУММПРОИЗВЕСЛИ(1,E19:E21,"s",#REF!,I19:I21,0),2)</f>
        <v>#VALUE!</v>
      </c>
      <c r="J19" s="13" t="e">
        <f>ROUND(СУММПРОИЗВЕСЛИ(D19,E19:E21,"s",#REF!,I19:I21,0),2)</f>
        <v>#VALUE!</v>
      </c>
    </row>
    <row r="20" spans="1:4" ht="10.5" hidden="1">
      <c r="A20" s="55"/>
      <c r="B20" s="56" t="s">
        <v>68</v>
      </c>
      <c r="C20" s="55"/>
      <c r="D20" s="55"/>
    </row>
    <row r="21" spans="1:10" ht="10.5" hidden="1">
      <c r="A21" s="53" t="s">
        <v>69</v>
      </c>
      <c r="B21" s="53" t="s">
        <v>33</v>
      </c>
      <c r="C21" s="54" t="s">
        <v>70</v>
      </c>
      <c r="D21" s="55">
        <v>0</v>
      </c>
      <c r="F21" s="1" t="s">
        <v>35</v>
      </c>
      <c r="I21" s="16">
        <f>IF(D21=0,0,ROUND(J21/D21,3))</f>
        <v>0</v>
      </c>
      <c r="J21" s="17"/>
    </row>
    <row r="22" spans="1:10" ht="21">
      <c r="A22" s="53" t="s">
        <v>73</v>
      </c>
      <c r="B22" s="53" t="s">
        <v>75</v>
      </c>
      <c r="C22" s="54" t="s">
        <v>76</v>
      </c>
      <c r="D22" s="55">
        <v>0.33</v>
      </c>
      <c r="E22" s="1" t="s">
        <v>30</v>
      </c>
      <c r="I22" s="13" t="e">
        <f>ROUND(СУММПРОИЗВЕСЛИ(1,E22:E22,"s",#REF!,I22:I22,0),2)</f>
        <v>#VALUE!</v>
      </c>
      <c r="J22" s="13" t="e">
        <f>ROUND(СУММПРОИЗВЕСЛИ(D22,E22:E22,"s",#REF!,I22:I22,0),2)</f>
        <v>#VALUE!</v>
      </c>
    </row>
    <row r="23" spans="1:10" ht="19.5" customHeight="1">
      <c r="A23" s="53" t="s">
        <v>91</v>
      </c>
      <c r="B23" s="53" t="s">
        <v>634</v>
      </c>
      <c r="C23" s="54" t="s">
        <v>67</v>
      </c>
      <c r="D23" s="55">
        <v>0.45</v>
      </c>
      <c r="E23" s="1" t="s">
        <v>30</v>
      </c>
      <c r="I23" s="13" t="e">
        <f>ROUND(СУММПРОИЗВЕСЛИ(1,E23:E25,"s",#REF!,I23:I25,0),2)</f>
        <v>#VALUE!</v>
      </c>
      <c r="J23" s="13" t="e">
        <f>ROUND(СУММПРОИЗВЕСЛИ(D23,E23:E25,"s",#REF!,I23:I25,0),2)</f>
        <v>#VALUE!</v>
      </c>
    </row>
    <row r="24" spans="1:4" ht="10.5" hidden="1">
      <c r="A24" s="55"/>
      <c r="B24" s="56" t="s">
        <v>68</v>
      </c>
      <c r="C24" s="55"/>
      <c r="D24" s="55"/>
    </row>
    <row r="25" spans="1:10" ht="10.5" hidden="1">
      <c r="A25" s="53" t="s">
        <v>92</v>
      </c>
      <c r="B25" s="53" t="s">
        <v>33</v>
      </c>
      <c r="C25" s="54" t="s">
        <v>70</v>
      </c>
      <c r="D25" s="55">
        <v>0</v>
      </c>
      <c r="F25" s="1" t="s">
        <v>35</v>
      </c>
      <c r="I25" s="16">
        <f>IF(D25=0,0,ROUND(J25/D25,3))</f>
        <v>0</v>
      </c>
      <c r="J25" s="17"/>
    </row>
    <row r="26" spans="1:10" ht="21">
      <c r="A26" s="53" t="s">
        <v>94</v>
      </c>
      <c r="B26" s="53" t="s">
        <v>96</v>
      </c>
      <c r="C26" s="54" t="s">
        <v>67</v>
      </c>
      <c r="D26" s="55">
        <v>0.45</v>
      </c>
      <c r="E26" s="1" t="s">
        <v>30</v>
      </c>
      <c r="I26" s="13" t="e">
        <f>ROUND(СУММПРОИЗВЕСЛИ(1,E26:E27,"s",#REF!,I26:I27,0),2)</f>
        <v>#VALUE!</v>
      </c>
      <c r="J26" s="13" t="e">
        <f>ROUND(СУММПРОИЗВЕСЛИ(D26,E26:E27,"s",#REF!,I26:I27,0),2)</f>
        <v>#VALUE!</v>
      </c>
    </row>
    <row r="27" spans="1:10" ht="10.5" hidden="1">
      <c r="A27" s="53" t="s">
        <v>97</v>
      </c>
      <c r="B27" s="53" t="s">
        <v>33</v>
      </c>
      <c r="C27" s="54" t="s">
        <v>70</v>
      </c>
      <c r="D27" s="55">
        <v>0</v>
      </c>
      <c r="F27" s="1" t="s">
        <v>35</v>
      </c>
      <c r="I27" s="16">
        <f>IF(D27=0,0,ROUND(J27/D27,3))</f>
        <v>0</v>
      </c>
      <c r="J27" s="17"/>
    </row>
    <row r="28" spans="1:10" ht="21">
      <c r="A28" s="53" t="s">
        <v>99</v>
      </c>
      <c r="B28" s="53" t="s">
        <v>635</v>
      </c>
      <c r="C28" s="54" t="s">
        <v>101</v>
      </c>
      <c r="D28" s="55">
        <v>2</v>
      </c>
      <c r="E28" s="1" t="s">
        <v>30</v>
      </c>
      <c r="I28" s="13" t="e">
        <f>ROUND(СУММПРОИЗВЕСЛИ(1,E28:E28,"s",#REF!,I28:I28,0),2)</f>
        <v>#VALUE!</v>
      </c>
      <c r="J28" s="13" t="e">
        <f>ROUND(СУММПРОИЗВЕСЛИ(D28,E28:E28,"s",#REF!,I28:I28,0),2)</f>
        <v>#VALUE!</v>
      </c>
    </row>
    <row r="29" spans="1:10" ht="21">
      <c r="A29" s="53" t="s">
        <v>119</v>
      </c>
      <c r="B29" s="53" t="s">
        <v>121</v>
      </c>
      <c r="C29" s="54" t="s">
        <v>122</v>
      </c>
      <c r="D29" s="55">
        <v>0.2</v>
      </c>
      <c r="E29" s="1" t="s">
        <v>30</v>
      </c>
      <c r="I29" s="13" t="e">
        <f>ROUND(СУММПРОИЗВЕСЛИ(1,E29:E29,"s",#REF!,I29:I29,0),2)</f>
        <v>#VALUE!</v>
      </c>
      <c r="J29" s="13" t="e">
        <f>ROUND(СУММПРОИЗВЕСЛИ(D29,E29:E29,"s",#REF!,I29:I29,0),2)</f>
        <v>#VALUE!</v>
      </c>
    </row>
    <row r="30" spans="1:10" ht="21.75" customHeight="1">
      <c r="A30" s="53" t="s">
        <v>150</v>
      </c>
      <c r="B30" s="53" t="s">
        <v>152</v>
      </c>
      <c r="C30" s="54" t="s">
        <v>29</v>
      </c>
      <c r="D30" s="55">
        <v>1.425</v>
      </c>
      <c r="E30" s="1" t="s">
        <v>30</v>
      </c>
      <c r="I30" s="13" t="e">
        <f>ROUND(СУММПРОИЗВЕСЛИ(1,E30:E30,"s",#REF!,I30:I30,0),2)</f>
        <v>#VALUE!</v>
      </c>
      <c r="J30" s="13" t="e">
        <f>ROUND(СУММПРОИЗВЕСЛИ(D30,E30:E30,"s",#REF!,I30:I30,0),2)</f>
        <v>#VALUE!</v>
      </c>
    </row>
    <row r="31" spans="1:10" ht="10.5">
      <c r="A31" s="53" t="s">
        <v>155</v>
      </c>
      <c r="B31" s="53" t="s">
        <v>636</v>
      </c>
      <c r="C31" s="54" t="s">
        <v>76</v>
      </c>
      <c r="D31" s="55">
        <v>0.1</v>
      </c>
      <c r="E31" s="1" t="s">
        <v>30</v>
      </c>
      <c r="I31" s="13" t="e">
        <f>ROUND(СУММПРОИЗВЕСЛИ(1,E31:E31,"s",#REF!,I31:I31,0),2)</f>
        <v>#VALUE!</v>
      </c>
      <c r="J31" s="13" t="e">
        <f>ROUND(СУММПРОИЗВЕСЛИ(D31,E31:E31,"s",#REF!,I31:I31,0),2)</f>
        <v>#VALUE!</v>
      </c>
    </row>
    <row r="32" spans="1:10" ht="21">
      <c r="A32" s="53" t="s">
        <v>170</v>
      </c>
      <c r="B32" s="53" t="s">
        <v>172</v>
      </c>
      <c r="C32" s="54" t="s">
        <v>173</v>
      </c>
      <c r="D32" s="55">
        <v>0.16</v>
      </c>
      <c r="E32" s="1" t="s">
        <v>30</v>
      </c>
      <c r="I32" s="13" t="e">
        <f>ROUND(СУММПРОИЗВЕСЛИ(1,E32:E32,"s",#REF!,I32:I32,0),2)</f>
        <v>#VALUE!</v>
      </c>
      <c r="J32" s="13" t="e">
        <f>ROUND(СУММПРОИЗВЕСЛИ(D32,E32:E32,"s",#REF!,I32:I32,0),2)</f>
        <v>#VALUE!</v>
      </c>
    </row>
    <row r="33" spans="1:10" ht="10.5">
      <c r="A33" s="53" t="s">
        <v>186</v>
      </c>
      <c r="B33" s="53" t="s">
        <v>638</v>
      </c>
      <c r="C33" s="54" t="s">
        <v>637</v>
      </c>
      <c r="D33" s="55">
        <v>72</v>
      </c>
      <c r="E33" s="1" t="s">
        <v>30</v>
      </c>
      <c r="I33" s="13" t="e">
        <f>ROUND(СУММПРОИЗВЕСЛИ(1,E33:E35,"s",#REF!,I33:I35,0),2)</f>
        <v>#VALUE!</v>
      </c>
      <c r="J33" s="13" t="e">
        <f>ROUND(СУММПРОИЗВЕСЛИ(D33,E33:E35,"s",#REF!,I33:I35,0),2)</f>
        <v>#VALUE!</v>
      </c>
    </row>
    <row r="34" spans="1:10" ht="21" hidden="1">
      <c r="A34" s="53" t="s">
        <v>188</v>
      </c>
      <c r="B34" s="53" t="s">
        <v>33</v>
      </c>
      <c r="C34" s="54" t="s">
        <v>70</v>
      </c>
      <c r="D34" s="55">
        <v>0</v>
      </c>
      <c r="F34" s="1" t="s">
        <v>35</v>
      </c>
      <c r="I34" s="16">
        <f>IF(D34=0,0,ROUND(J34/D34,3))</f>
        <v>0</v>
      </c>
      <c r="J34" s="17"/>
    </row>
    <row r="35" spans="1:10" ht="21" hidden="1">
      <c r="A35" s="53" t="s">
        <v>189</v>
      </c>
      <c r="B35" s="53">
        <f>Ресурсы!B40</f>
        <v>0</v>
      </c>
      <c r="C35" s="54"/>
      <c r="D35" s="55" t="e">
        <f>ОКРУГЛВСЕ(IF(#REF!="",0,#REF!)*IF(D33="",0,D33),11)</f>
        <v>#VALUE!</v>
      </c>
      <c r="E35" s="1" t="s">
        <v>38</v>
      </c>
      <c r="F35" s="1" t="s">
        <v>86</v>
      </c>
      <c r="I35" s="17">
        <f>ROUND(Ресурсы!C40*Начисления!AV16,2)</f>
        <v>0</v>
      </c>
      <c r="J35" s="17" t="e">
        <f>ROUND(IF(D35="",0,D35)*IF(I35="",0,I35),2)</f>
        <v>#VALUE!</v>
      </c>
    </row>
    <row r="36" spans="1:4" ht="10.5" hidden="1">
      <c r="A36" s="55"/>
      <c r="B36" s="57" t="s">
        <v>42</v>
      </c>
      <c r="C36" s="55"/>
      <c r="D36" s="55"/>
    </row>
    <row r="37" spans="1:4" ht="10.5" hidden="1">
      <c r="A37" s="55"/>
      <c r="B37" s="57" t="s">
        <v>43</v>
      </c>
      <c r="C37" s="55"/>
      <c r="D37" s="55"/>
    </row>
    <row r="38" spans="1:4" ht="10.5" hidden="1">
      <c r="A38" s="55"/>
      <c r="B38" s="57" t="s">
        <v>44</v>
      </c>
      <c r="C38" s="55"/>
      <c r="D38" s="55"/>
    </row>
    <row r="39" spans="1:4" ht="10.5" hidden="1">
      <c r="A39" s="55"/>
      <c r="B39" s="57" t="s">
        <v>45</v>
      </c>
      <c r="C39" s="55"/>
      <c r="D39" s="55"/>
    </row>
    <row r="40" spans="1:4" ht="10.5" hidden="1">
      <c r="A40" s="55"/>
      <c r="B40" s="57" t="s">
        <v>46</v>
      </c>
      <c r="C40" s="55"/>
      <c r="D40" s="55"/>
    </row>
    <row r="41" spans="1:9" ht="21" hidden="1">
      <c r="A41" s="55"/>
      <c r="B41" s="57" t="s">
        <v>47</v>
      </c>
      <c r="C41" s="55"/>
      <c r="D41" s="55"/>
      <c r="E41" s="1" t="s">
        <v>48</v>
      </c>
      <c r="I41" s="22"/>
    </row>
    <row r="42" spans="1:4" ht="10.5" hidden="1">
      <c r="A42" s="55"/>
      <c r="B42" s="57" t="s">
        <v>49</v>
      </c>
      <c r="C42" s="55"/>
      <c r="D42" s="55"/>
    </row>
    <row r="43" spans="1:4" ht="10.5" hidden="1">
      <c r="A43" s="55"/>
      <c r="B43" s="57" t="s">
        <v>50</v>
      </c>
      <c r="C43" s="55"/>
      <c r="D43" s="55"/>
    </row>
    <row r="44" spans="1:4" ht="10.5" hidden="1">
      <c r="A44" s="55"/>
      <c r="B44" s="57" t="s">
        <v>51</v>
      </c>
      <c r="C44" s="55"/>
      <c r="D44" s="55"/>
    </row>
    <row r="45" spans="1:10" ht="10.5" hidden="1">
      <c r="A45" s="55"/>
      <c r="B45" s="57" t="s">
        <v>52</v>
      </c>
      <c r="C45" s="55"/>
      <c r="D45" s="55"/>
      <c r="F45" s="14" t="s">
        <v>53</v>
      </c>
      <c r="J45" s="23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</row>
    <row r="46" spans="1:10" ht="10.5" hidden="1">
      <c r="A46" s="55"/>
      <c r="B46" s="57" t="s">
        <v>54</v>
      </c>
      <c r="C46" s="55"/>
      <c r="D46" s="55"/>
      <c r="F46" s="14" t="s">
        <v>55</v>
      </c>
      <c r="J46" s="23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</row>
    <row r="47" spans="1:10" ht="10.5" hidden="1">
      <c r="A47" s="55"/>
      <c r="B47" s="57" t="s">
        <v>56</v>
      </c>
      <c r="C47" s="55"/>
      <c r="D47" s="55"/>
      <c r="F47" s="14" t="s">
        <v>57</v>
      </c>
      <c r="J47" s="23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</row>
    <row r="48" spans="1:10" ht="10.5" hidden="1">
      <c r="A48" s="55"/>
      <c r="B48" s="57" t="s">
        <v>58</v>
      </c>
      <c r="C48" s="55"/>
      <c r="D48" s="55"/>
      <c r="F48" s="14" t="s">
        <v>59</v>
      </c>
      <c r="J48" s="23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</row>
    <row r="49" spans="1:10" ht="10.5" hidden="1">
      <c r="A49" s="55"/>
      <c r="B49" s="57" t="s">
        <v>60</v>
      </c>
      <c r="C49" s="55"/>
      <c r="D49" s="55"/>
      <c r="F49" s="14" t="s">
        <v>61</v>
      </c>
      <c r="J49" s="23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</row>
    <row r="50" spans="1:10" ht="10.5" hidden="1">
      <c r="A50" s="55"/>
      <c r="B50" s="57" t="s">
        <v>62</v>
      </c>
      <c r="C50" s="55"/>
      <c r="D50" s="55"/>
      <c r="F50" s="14" t="s">
        <v>63</v>
      </c>
      <c r="J50" s="23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</row>
    <row r="51" spans="1:10" ht="10.5">
      <c r="A51" s="53" t="s">
        <v>190</v>
      </c>
      <c r="B51" s="53" t="s">
        <v>642</v>
      </c>
      <c r="C51" s="54" t="s">
        <v>639</v>
      </c>
      <c r="D51" s="55">
        <v>330</v>
      </c>
      <c r="E51" s="1" t="s">
        <v>30</v>
      </c>
      <c r="I51" s="13" t="e">
        <f>ROUND(СУММПРОИЗВЕСЛИ(1,E51:E53,"s",#REF!,I51:I53,0),2)</f>
        <v>#VALUE!</v>
      </c>
      <c r="J51" s="13" t="e">
        <f>ROUND(СУММПРОИЗВЕСЛИ(D51,E51:E53,"s",#REF!,I51:I53,0),2)</f>
        <v>#VALUE!</v>
      </c>
    </row>
    <row r="52" spans="1:10" ht="21" hidden="1">
      <c r="A52" s="53" t="s">
        <v>192</v>
      </c>
      <c r="B52" s="53" t="s">
        <v>33</v>
      </c>
      <c r="C52" s="54" t="s">
        <v>70</v>
      </c>
      <c r="D52" s="55">
        <v>0</v>
      </c>
      <c r="F52" s="1" t="s">
        <v>35</v>
      </c>
      <c r="I52" s="16">
        <f>IF(D52=0,0,ROUND(J52/D52,3))</f>
        <v>0</v>
      </c>
      <c r="J52" s="17"/>
    </row>
    <row r="53" spans="1:10" ht="21" hidden="1">
      <c r="A53" s="53" t="s">
        <v>193</v>
      </c>
      <c r="B53" s="53">
        <f>Ресурсы!B42</f>
        <v>0</v>
      </c>
      <c r="C53" s="54"/>
      <c r="D53" s="55" t="e">
        <f>ОКРУГЛВСЕ(IF(#REF!="",0,#REF!)*IF(D51="",0,D51),11)</f>
        <v>#VALUE!</v>
      </c>
      <c r="E53" s="1" t="s">
        <v>38</v>
      </c>
      <c r="F53" s="1" t="s">
        <v>86</v>
      </c>
      <c r="I53" s="17">
        <f>ROUND(Ресурсы!C42*Начисления!AV17,2)</f>
        <v>0</v>
      </c>
      <c r="J53" s="17" t="e">
        <f>ROUND(IF(D53="",0,D53)*IF(I53="",0,I53),2)</f>
        <v>#VALUE!</v>
      </c>
    </row>
    <row r="54" spans="1:4" ht="10.5" hidden="1">
      <c r="A54" s="55"/>
      <c r="B54" s="57" t="s">
        <v>42</v>
      </c>
      <c r="C54" s="55"/>
      <c r="D54" s="55"/>
    </row>
    <row r="55" spans="1:4" ht="10.5" hidden="1">
      <c r="A55" s="55"/>
      <c r="B55" s="57" t="s">
        <v>43</v>
      </c>
      <c r="C55" s="55"/>
      <c r="D55" s="55"/>
    </row>
    <row r="56" spans="1:4" ht="10.5" hidden="1">
      <c r="A56" s="55"/>
      <c r="B56" s="57" t="s">
        <v>44</v>
      </c>
      <c r="C56" s="55"/>
      <c r="D56" s="55"/>
    </row>
    <row r="57" spans="1:4" ht="10.5" hidden="1">
      <c r="A57" s="55"/>
      <c r="B57" s="57" t="s">
        <v>45</v>
      </c>
      <c r="C57" s="55"/>
      <c r="D57" s="55"/>
    </row>
    <row r="58" spans="1:4" ht="10.5" hidden="1">
      <c r="A58" s="55"/>
      <c r="B58" s="57" t="s">
        <v>46</v>
      </c>
      <c r="C58" s="55"/>
      <c r="D58" s="55"/>
    </row>
    <row r="59" spans="1:9" ht="21" hidden="1">
      <c r="A59" s="55"/>
      <c r="B59" s="57" t="s">
        <v>47</v>
      </c>
      <c r="C59" s="55"/>
      <c r="D59" s="55"/>
      <c r="E59" s="1" t="s">
        <v>48</v>
      </c>
      <c r="I59" s="22"/>
    </row>
    <row r="60" spans="1:4" ht="10.5" hidden="1">
      <c r="A60" s="55"/>
      <c r="B60" s="57" t="s">
        <v>49</v>
      </c>
      <c r="C60" s="55"/>
      <c r="D60" s="55"/>
    </row>
    <row r="61" spans="1:4" ht="10.5" hidden="1">
      <c r="A61" s="55"/>
      <c r="B61" s="57" t="s">
        <v>50</v>
      </c>
      <c r="C61" s="55"/>
      <c r="D61" s="55"/>
    </row>
    <row r="62" spans="1:4" ht="10.5" hidden="1">
      <c r="A62" s="55"/>
      <c r="B62" s="57" t="s">
        <v>51</v>
      </c>
      <c r="C62" s="55"/>
      <c r="D62" s="55"/>
    </row>
    <row r="63" spans="1:10" ht="10.5" hidden="1">
      <c r="A63" s="55"/>
      <c r="B63" s="57" t="s">
        <v>52</v>
      </c>
      <c r="C63" s="55"/>
      <c r="D63" s="55"/>
      <c r="F63" s="14" t="s">
        <v>53</v>
      </c>
      <c r="J63" s="23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</row>
    <row r="64" spans="1:10" ht="10.5" hidden="1">
      <c r="A64" s="55"/>
      <c r="B64" s="57" t="s">
        <v>54</v>
      </c>
      <c r="C64" s="55"/>
      <c r="D64" s="55"/>
      <c r="F64" s="14" t="s">
        <v>55</v>
      </c>
      <c r="J64" s="23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</row>
    <row r="65" spans="1:10" ht="10.5" hidden="1">
      <c r="A65" s="55"/>
      <c r="B65" s="57" t="s">
        <v>56</v>
      </c>
      <c r="C65" s="55"/>
      <c r="D65" s="55"/>
      <c r="F65" s="14" t="s">
        <v>57</v>
      </c>
      <c r="J65" s="23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</row>
    <row r="66" spans="1:10" ht="10.5" hidden="1">
      <c r="A66" s="55"/>
      <c r="B66" s="57" t="s">
        <v>58</v>
      </c>
      <c r="C66" s="55"/>
      <c r="D66" s="55"/>
      <c r="F66" s="14" t="s">
        <v>59</v>
      </c>
      <c r="J66" s="23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</row>
    <row r="67" spans="1:10" ht="10.5" hidden="1">
      <c r="A67" s="55"/>
      <c r="B67" s="57" t="s">
        <v>60</v>
      </c>
      <c r="C67" s="55"/>
      <c r="D67" s="55"/>
      <c r="F67" s="14" t="s">
        <v>61</v>
      </c>
      <c r="J67" s="23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</row>
    <row r="68" spans="1:10" ht="10.5" hidden="1">
      <c r="A68" s="55"/>
      <c r="B68" s="57" t="s">
        <v>62</v>
      </c>
      <c r="C68" s="55"/>
      <c r="D68" s="55"/>
      <c r="F68" s="14" t="s">
        <v>63</v>
      </c>
      <c r="J68" s="23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</row>
    <row r="69" spans="1:10" ht="10.5">
      <c r="A69" s="53" t="s">
        <v>194</v>
      </c>
      <c r="B69" s="53" t="s">
        <v>643</v>
      </c>
      <c r="C69" s="54" t="s">
        <v>637</v>
      </c>
      <c r="D69" s="55">
        <v>0.8</v>
      </c>
      <c r="E69" s="1" t="s">
        <v>30</v>
      </c>
      <c r="I69" s="13" t="e">
        <f>ROUND(СУММПРОИЗВЕСЛИ(1,E69:E71,"s",#REF!,I69:I71,0),2)</f>
        <v>#VALUE!</v>
      </c>
      <c r="J69" s="13" t="e">
        <f>ROUND(СУММПРОИЗВЕСЛИ(D69,E69:E71,"s",#REF!,I69:I71,0),2)</f>
        <v>#VALUE!</v>
      </c>
    </row>
    <row r="70" spans="1:10" ht="21" hidden="1">
      <c r="A70" s="53" t="s">
        <v>196</v>
      </c>
      <c r="B70" s="53" t="s">
        <v>33</v>
      </c>
      <c r="C70" s="54" t="s">
        <v>70</v>
      </c>
      <c r="D70" s="55">
        <v>0</v>
      </c>
      <c r="F70" s="1" t="s">
        <v>35</v>
      </c>
      <c r="I70" s="16">
        <f>IF(D70=0,0,ROUND(J70/D70,3))</f>
        <v>0</v>
      </c>
      <c r="J70" s="17"/>
    </row>
    <row r="71" spans="1:10" ht="21" hidden="1">
      <c r="A71" s="53" t="s">
        <v>197</v>
      </c>
      <c r="B71" s="53">
        <f>Ресурсы!B43</f>
        <v>0</v>
      </c>
      <c r="C71" s="54"/>
      <c r="D71" s="55" t="e">
        <f>ОКРУГЛВСЕ(IF(#REF!="",0,#REF!)*IF(D69="",0,D69),11)</f>
        <v>#VALUE!</v>
      </c>
      <c r="E71" s="1" t="s">
        <v>38</v>
      </c>
      <c r="F71" s="1" t="s">
        <v>86</v>
      </c>
      <c r="I71" s="17">
        <f>ROUND(Ресурсы!C43*Начисления!AV18,2)</f>
        <v>0</v>
      </c>
      <c r="J71" s="17" t="e">
        <f>ROUND(IF(D71="",0,D71)*IF(I71="",0,I71),2)</f>
        <v>#VALUE!</v>
      </c>
    </row>
    <row r="72" spans="1:4" ht="10.5" hidden="1">
      <c r="A72" s="55"/>
      <c r="B72" s="57" t="s">
        <v>42</v>
      </c>
      <c r="C72" s="55"/>
      <c r="D72" s="55"/>
    </row>
    <row r="73" spans="1:4" ht="10.5" hidden="1">
      <c r="A73" s="55"/>
      <c r="B73" s="57" t="s">
        <v>43</v>
      </c>
      <c r="C73" s="55"/>
      <c r="D73" s="55"/>
    </row>
    <row r="74" spans="1:4" ht="10.5" hidden="1">
      <c r="A74" s="55"/>
      <c r="B74" s="57" t="s">
        <v>44</v>
      </c>
      <c r="C74" s="55"/>
      <c r="D74" s="55"/>
    </row>
    <row r="75" spans="1:4" ht="10.5" hidden="1">
      <c r="A75" s="55"/>
      <c r="B75" s="57" t="s">
        <v>45</v>
      </c>
      <c r="C75" s="55"/>
      <c r="D75" s="55"/>
    </row>
    <row r="76" spans="1:4" ht="10.5" hidden="1">
      <c r="A76" s="55"/>
      <c r="B76" s="57" t="s">
        <v>46</v>
      </c>
      <c r="C76" s="55"/>
      <c r="D76" s="55"/>
    </row>
    <row r="77" spans="1:9" ht="21" hidden="1">
      <c r="A77" s="55"/>
      <c r="B77" s="57" t="s">
        <v>47</v>
      </c>
      <c r="C77" s="55"/>
      <c r="D77" s="55"/>
      <c r="E77" s="1" t="s">
        <v>48</v>
      </c>
      <c r="I77" s="22"/>
    </row>
    <row r="78" spans="1:4" ht="10.5" hidden="1">
      <c r="A78" s="55"/>
      <c r="B78" s="57" t="s">
        <v>49</v>
      </c>
      <c r="C78" s="55"/>
      <c r="D78" s="55"/>
    </row>
    <row r="79" spans="1:4" ht="10.5" hidden="1">
      <c r="A79" s="55"/>
      <c r="B79" s="57" t="s">
        <v>50</v>
      </c>
      <c r="C79" s="55"/>
      <c r="D79" s="55"/>
    </row>
    <row r="80" spans="1:4" ht="10.5" hidden="1">
      <c r="A80" s="55"/>
      <c r="B80" s="57" t="s">
        <v>51</v>
      </c>
      <c r="C80" s="55"/>
      <c r="D80" s="55"/>
    </row>
    <row r="81" spans="1:10" ht="10.5" hidden="1">
      <c r="A81" s="55"/>
      <c r="B81" s="57" t="s">
        <v>52</v>
      </c>
      <c r="C81" s="55"/>
      <c r="D81" s="55"/>
      <c r="F81" s="14" t="s">
        <v>53</v>
      </c>
      <c r="J81" s="23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</row>
    <row r="82" spans="1:10" ht="10.5" hidden="1">
      <c r="A82" s="55"/>
      <c r="B82" s="57" t="s">
        <v>54</v>
      </c>
      <c r="C82" s="55"/>
      <c r="D82" s="55"/>
      <c r="F82" s="14" t="s">
        <v>55</v>
      </c>
      <c r="J82" s="23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</c>
    </row>
    <row r="83" spans="1:10" ht="10.5" hidden="1">
      <c r="A83" s="55"/>
      <c r="B83" s="57" t="s">
        <v>56</v>
      </c>
      <c r="C83" s="55"/>
      <c r="D83" s="55"/>
      <c r="F83" s="14" t="s">
        <v>57</v>
      </c>
      <c r="J83" s="23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</row>
    <row r="84" spans="1:10" ht="10.5" hidden="1">
      <c r="A84" s="55"/>
      <c r="B84" s="57" t="s">
        <v>58</v>
      </c>
      <c r="C84" s="55"/>
      <c r="D84" s="55"/>
      <c r="F84" s="14" t="s">
        <v>59</v>
      </c>
      <c r="J84" s="23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</row>
    <row r="85" spans="1:10" ht="10.5" hidden="1">
      <c r="A85" s="55"/>
      <c r="B85" s="57" t="s">
        <v>60</v>
      </c>
      <c r="C85" s="55"/>
      <c r="D85" s="55"/>
      <c r="F85" s="14" t="s">
        <v>61</v>
      </c>
      <c r="J85" s="23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</c>
    </row>
    <row r="86" spans="1:10" ht="10.5" hidden="1">
      <c r="A86" s="55"/>
      <c r="B86" s="57" t="s">
        <v>62</v>
      </c>
      <c r="C86" s="55"/>
      <c r="D86" s="55"/>
      <c r="F86" s="14" t="s">
        <v>63</v>
      </c>
      <c r="J86" s="23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</row>
    <row r="87" spans="1:10" ht="10.5">
      <c r="A87" s="53" t="s">
        <v>198</v>
      </c>
      <c r="B87" s="53" t="s">
        <v>644</v>
      </c>
      <c r="C87" s="54" t="s">
        <v>640</v>
      </c>
      <c r="D87" s="55">
        <v>2</v>
      </c>
      <c r="E87" s="1" t="s">
        <v>30</v>
      </c>
      <c r="I87" s="13" t="e">
        <f>ROUND(СУММПРОИЗВЕСЛИ(1,E87:E89,"s",#REF!,I87:I89,0),2)</f>
        <v>#VALUE!</v>
      </c>
      <c r="J87" s="13" t="e">
        <f>ROUND(СУММПРОИЗВЕСЛИ(D87,E87:E89,"s",#REF!,I87:I89,0),2)</f>
        <v>#VALUE!</v>
      </c>
    </row>
    <row r="88" spans="1:10" ht="21" hidden="1">
      <c r="A88" s="53" t="s">
        <v>200</v>
      </c>
      <c r="B88" s="53" t="s">
        <v>33</v>
      </c>
      <c r="C88" s="54" t="s">
        <v>640</v>
      </c>
      <c r="D88" s="55">
        <v>0</v>
      </c>
      <c r="F88" s="1" t="s">
        <v>35</v>
      </c>
      <c r="I88" s="16">
        <f>IF(D88=0,0,ROUND(J88/D88,3))</f>
        <v>0</v>
      </c>
      <c r="J88" s="17"/>
    </row>
    <row r="89" spans="1:10" ht="21" hidden="1">
      <c r="A89" s="53" t="s">
        <v>201</v>
      </c>
      <c r="B89" s="53">
        <f>Ресурсы!B44</f>
        <v>0</v>
      </c>
      <c r="C89" s="54" t="s">
        <v>640</v>
      </c>
      <c r="D89" s="55" t="e">
        <f>ОКРУГЛВСЕ(IF(#REF!="",0,#REF!)*IF(D87="",0,D87),11)</f>
        <v>#VALUE!</v>
      </c>
      <c r="E89" s="1" t="s">
        <v>38</v>
      </c>
      <c r="F89" s="1" t="s">
        <v>86</v>
      </c>
      <c r="I89" s="17">
        <f>ROUND(Ресурсы!C44*Начисления!AV19,2)</f>
        <v>0</v>
      </c>
      <c r="J89" s="17" t="e">
        <f>ROUND(IF(D89="",0,D89)*IF(I89="",0,I89),2)</f>
        <v>#VALUE!</v>
      </c>
    </row>
    <row r="90" spans="1:4" ht="10.5" hidden="1">
      <c r="A90" s="55"/>
      <c r="B90" s="57" t="s">
        <v>42</v>
      </c>
      <c r="C90" s="54" t="s">
        <v>640</v>
      </c>
      <c r="D90" s="55"/>
    </row>
    <row r="91" spans="1:4" ht="10.5" hidden="1">
      <c r="A91" s="55"/>
      <c r="B91" s="57" t="s">
        <v>43</v>
      </c>
      <c r="C91" s="54" t="s">
        <v>640</v>
      </c>
      <c r="D91" s="55"/>
    </row>
    <row r="92" spans="1:4" ht="10.5" hidden="1">
      <c r="A92" s="55"/>
      <c r="B92" s="57" t="s">
        <v>44</v>
      </c>
      <c r="C92" s="54" t="s">
        <v>640</v>
      </c>
      <c r="D92" s="55"/>
    </row>
    <row r="93" spans="1:4" ht="10.5" hidden="1">
      <c r="A93" s="55"/>
      <c r="B93" s="57" t="s">
        <v>45</v>
      </c>
      <c r="C93" s="54" t="s">
        <v>640</v>
      </c>
      <c r="D93" s="55"/>
    </row>
    <row r="94" spans="1:4" ht="10.5" hidden="1">
      <c r="A94" s="55"/>
      <c r="B94" s="57" t="s">
        <v>46</v>
      </c>
      <c r="C94" s="54" t="s">
        <v>640</v>
      </c>
      <c r="D94" s="55"/>
    </row>
    <row r="95" spans="1:9" ht="21" hidden="1">
      <c r="A95" s="55"/>
      <c r="B95" s="57" t="s">
        <v>47</v>
      </c>
      <c r="C95" s="54" t="s">
        <v>640</v>
      </c>
      <c r="D95" s="55"/>
      <c r="E95" s="1" t="s">
        <v>48</v>
      </c>
      <c r="I95" s="22"/>
    </row>
    <row r="96" spans="1:4" ht="10.5" hidden="1">
      <c r="A96" s="55"/>
      <c r="B96" s="57" t="s">
        <v>49</v>
      </c>
      <c r="C96" s="54" t="s">
        <v>640</v>
      </c>
      <c r="D96" s="55"/>
    </row>
    <row r="97" spans="1:4" ht="10.5" hidden="1">
      <c r="A97" s="55"/>
      <c r="B97" s="57" t="s">
        <v>50</v>
      </c>
      <c r="C97" s="54" t="s">
        <v>640</v>
      </c>
      <c r="D97" s="55"/>
    </row>
    <row r="98" spans="1:4" ht="10.5" hidden="1">
      <c r="A98" s="55"/>
      <c r="B98" s="57" t="s">
        <v>51</v>
      </c>
      <c r="C98" s="54" t="s">
        <v>640</v>
      </c>
      <c r="D98" s="55"/>
    </row>
    <row r="99" spans="1:10" ht="10.5" hidden="1">
      <c r="A99" s="55"/>
      <c r="B99" s="57" t="s">
        <v>52</v>
      </c>
      <c r="C99" s="54" t="s">
        <v>640</v>
      </c>
      <c r="D99" s="55"/>
      <c r="F99" s="14" t="s">
        <v>53</v>
      </c>
      <c r="J99" s="23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</row>
    <row r="100" spans="1:10" ht="10.5" hidden="1">
      <c r="A100" s="55"/>
      <c r="B100" s="57" t="s">
        <v>54</v>
      </c>
      <c r="C100" s="54" t="s">
        <v>640</v>
      </c>
      <c r="D100" s="55"/>
      <c r="F100" s="14" t="s">
        <v>55</v>
      </c>
      <c r="J100" s="23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</c>
    </row>
    <row r="101" spans="1:10" ht="10.5" hidden="1">
      <c r="A101" s="55"/>
      <c r="B101" s="57" t="s">
        <v>56</v>
      </c>
      <c r="C101" s="54" t="s">
        <v>640</v>
      </c>
      <c r="D101" s="55"/>
      <c r="F101" s="14" t="s">
        <v>57</v>
      </c>
      <c r="J101" s="23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</row>
    <row r="102" spans="1:10" ht="10.5" hidden="1">
      <c r="A102" s="55"/>
      <c r="B102" s="57" t="s">
        <v>58</v>
      </c>
      <c r="C102" s="54" t="s">
        <v>640</v>
      </c>
      <c r="D102" s="55"/>
      <c r="F102" s="14" t="s">
        <v>59</v>
      </c>
      <c r="J102" s="23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</row>
    <row r="103" spans="1:10" ht="10.5" hidden="1">
      <c r="A103" s="55"/>
      <c r="B103" s="57" t="s">
        <v>60</v>
      </c>
      <c r="C103" s="54" t="s">
        <v>640</v>
      </c>
      <c r="D103" s="55"/>
      <c r="F103" s="14" t="s">
        <v>61</v>
      </c>
      <c r="J103" s="23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</c>
    </row>
    <row r="104" spans="1:10" ht="10.5" hidden="1">
      <c r="A104" s="55"/>
      <c r="B104" s="57" t="s">
        <v>62</v>
      </c>
      <c r="C104" s="54" t="s">
        <v>640</v>
      </c>
      <c r="D104" s="55"/>
      <c r="F104" s="14" t="s">
        <v>63</v>
      </c>
      <c r="J104" s="23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</row>
    <row r="105" spans="1:10" ht="10.5">
      <c r="A105" s="53" t="s">
        <v>202</v>
      </c>
      <c r="B105" s="53" t="s">
        <v>645</v>
      </c>
      <c r="C105" s="54" t="s">
        <v>640</v>
      </c>
      <c r="D105" s="55">
        <v>1</v>
      </c>
      <c r="E105" s="1" t="s">
        <v>30</v>
      </c>
      <c r="I105" s="13" t="e">
        <f>ROUND(СУММПРОИЗВЕСЛИ(1,E105:E107,"s",#REF!,I105:I107,0),2)</f>
        <v>#VALUE!</v>
      </c>
      <c r="J105" s="13" t="e">
        <f>ROUND(СУММПРОИЗВЕСЛИ(D105,E105:E107,"s",#REF!,I105:I107,0),2)</f>
        <v>#VALUE!</v>
      </c>
    </row>
    <row r="106" spans="1:10" ht="21" hidden="1">
      <c r="A106" s="53" t="s">
        <v>204</v>
      </c>
      <c r="B106" s="53" t="s">
        <v>33</v>
      </c>
      <c r="C106" s="54" t="s">
        <v>640</v>
      </c>
      <c r="D106" s="55">
        <v>0</v>
      </c>
      <c r="F106" s="1" t="s">
        <v>35</v>
      </c>
      <c r="I106" s="16">
        <f>IF(D106=0,0,ROUND(J106/D106,3))</f>
        <v>0</v>
      </c>
      <c r="J106" s="17"/>
    </row>
    <row r="107" spans="1:10" ht="21" hidden="1">
      <c r="A107" s="53" t="s">
        <v>205</v>
      </c>
      <c r="B107" s="53">
        <f>Ресурсы!B45</f>
        <v>0</v>
      </c>
      <c r="C107" s="54" t="s">
        <v>640</v>
      </c>
      <c r="D107" s="55" t="e">
        <f>ОКРУГЛВСЕ(IF(#REF!="",0,#REF!)*IF(D105="",0,D105),11)</f>
        <v>#VALUE!</v>
      </c>
      <c r="E107" s="1" t="s">
        <v>38</v>
      </c>
      <c r="F107" s="1" t="s">
        <v>86</v>
      </c>
      <c r="I107" s="17">
        <f>ROUND(Ресурсы!C45*Начисления!AV20,2)</f>
        <v>0</v>
      </c>
      <c r="J107" s="17" t="e">
        <f>ROUND(IF(D107="",0,D107)*IF(I107="",0,I107),2)</f>
        <v>#VALUE!</v>
      </c>
    </row>
    <row r="108" spans="1:4" ht="10.5" hidden="1">
      <c r="A108" s="55"/>
      <c r="B108" s="57" t="s">
        <v>42</v>
      </c>
      <c r="C108" s="54" t="s">
        <v>640</v>
      </c>
      <c r="D108" s="55"/>
    </row>
    <row r="109" spans="1:4" ht="10.5" hidden="1">
      <c r="A109" s="55"/>
      <c r="B109" s="57" t="s">
        <v>43</v>
      </c>
      <c r="C109" s="54" t="s">
        <v>640</v>
      </c>
      <c r="D109" s="55"/>
    </row>
    <row r="110" spans="1:4" ht="10.5" hidden="1">
      <c r="A110" s="55"/>
      <c r="B110" s="57" t="s">
        <v>44</v>
      </c>
      <c r="C110" s="54" t="s">
        <v>640</v>
      </c>
      <c r="D110" s="55"/>
    </row>
    <row r="111" spans="1:4" ht="10.5" hidden="1">
      <c r="A111" s="55"/>
      <c r="B111" s="57" t="s">
        <v>45</v>
      </c>
      <c r="C111" s="54" t="s">
        <v>640</v>
      </c>
      <c r="D111" s="55"/>
    </row>
    <row r="112" spans="1:4" ht="10.5" hidden="1">
      <c r="A112" s="55"/>
      <c r="B112" s="57" t="s">
        <v>46</v>
      </c>
      <c r="C112" s="54" t="s">
        <v>640</v>
      </c>
      <c r="D112" s="55"/>
    </row>
    <row r="113" spans="1:9" ht="21" hidden="1">
      <c r="A113" s="55"/>
      <c r="B113" s="57" t="s">
        <v>47</v>
      </c>
      <c r="C113" s="54" t="s">
        <v>640</v>
      </c>
      <c r="D113" s="55"/>
      <c r="E113" s="1" t="s">
        <v>48</v>
      </c>
      <c r="I113" s="22"/>
    </row>
    <row r="114" spans="1:4" ht="10.5" hidden="1">
      <c r="A114" s="55"/>
      <c r="B114" s="57" t="s">
        <v>49</v>
      </c>
      <c r="C114" s="54" t="s">
        <v>640</v>
      </c>
      <c r="D114" s="55"/>
    </row>
    <row r="115" spans="1:4" ht="10.5" hidden="1">
      <c r="A115" s="55"/>
      <c r="B115" s="57" t="s">
        <v>50</v>
      </c>
      <c r="C115" s="54" t="s">
        <v>640</v>
      </c>
      <c r="D115" s="55"/>
    </row>
    <row r="116" spans="1:4" ht="10.5" hidden="1">
      <c r="A116" s="55"/>
      <c r="B116" s="57" t="s">
        <v>51</v>
      </c>
      <c r="C116" s="54" t="s">
        <v>640</v>
      </c>
      <c r="D116" s="55"/>
    </row>
    <row r="117" spans="1:10" ht="10.5" hidden="1">
      <c r="A117" s="55"/>
      <c r="B117" s="57" t="s">
        <v>52</v>
      </c>
      <c r="C117" s="54" t="s">
        <v>640</v>
      </c>
      <c r="D117" s="55"/>
      <c r="F117" s="14" t="s">
        <v>53</v>
      </c>
      <c r="J117" s="23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</row>
    <row r="118" spans="1:10" ht="10.5" hidden="1">
      <c r="A118" s="55"/>
      <c r="B118" s="57" t="s">
        <v>54</v>
      </c>
      <c r="C118" s="54" t="s">
        <v>640</v>
      </c>
      <c r="D118" s="55"/>
      <c r="F118" s="14" t="s">
        <v>55</v>
      </c>
      <c r="J118" s="23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</c>
    </row>
    <row r="119" spans="1:10" ht="10.5" hidden="1">
      <c r="A119" s="55"/>
      <c r="B119" s="57" t="s">
        <v>56</v>
      </c>
      <c r="C119" s="54" t="s">
        <v>640</v>
      </c>
      <c r="D119" s="55"/>
      <c r="F119" s="14" t="s">
        <v>57</v>
      </c>
      <c r="J119" s="23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</c>
    </row>
    <row r="120" spans="1:10" ht="10.5" hidden="1">
      <c r="A120" s="55"/>
      <c r="B120" s="57" t="s">
        <v>58</v>
      </c>
      <c r="C120" s="54" t="s">
        <v>640</v>
      </c>
      <c r="D120" s="55"/>
      <c r="F120" s="14" t="s">
        <v>59</v>
      </c>
      <c r="J120" s="23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</row>
    <row r="121" spans="1:10" ht="10.5" hidden="1">
      <c r="A121" s="55"/>
      <c r="B121" s="57" t="s">
        <v>60</v>
      </c>
      <c r="C121" s="54" t="s">
        <v>640</v>
      </c>
      <c r="D121" s="55"/>
      <c r="F121" s="14" t="s">
        <v>61</v>
      </c>
      <c r="J121" s="23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</c>
    </row>
    <row r="122" spans="1:10" ht="10.5" hidden="1">
      <c r="A122" s="55"/>
      <c r="B122" s="57" t="s">
        <v>62</v>
      </c>
      <c r="C122" s="54" t="s">
        <v>640</v>
      </c>
      <c r="D122" s="55"/>
      <c r="F122" s="14" t="s">
        <v>63</v>
      </c>
      <c r="J122" s="23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</c>
    </row>
    <row r="123" spans="1:10" ht="10.5">
      <c r="A123" s="53" t="s">
        <v>206</v>
      </c>
      <c r="B123" s="53" t="s">
        <v>646</v>
      </c>
      <c r="C123" s="54" t="s">
        <v>640</v>
      </c>
      <c r="D123" s="55">
        <v>1</v>
      </c>
      <c r="E123" s="1" t="s">
        <v>30</v>
      </c>
      <c r="I123" s="13" t="e">
        <f>ROUND(СУММПРОИЗВЕСЛИ(1,E123:E125,"s",#REF!,I123:I125,0),2)</f>
        <v>#VALUE!</v>
      </c>
      <c r="J123" s="13" t="e">
        <f>ROUND(СУММПРОИЗВЕСЛИ(D123,E123:E125,"s",#REF!,I123:I125,0),2)</f>
        <v>#VALUE!</v>
      </c>
    </row>
    <row r="124" spans="1:10" ht="21" hidden="1">
      <c r="A124" s="53" t="s">
        <v>208</v>
      </c>
      <c r="B124" s="53" t="s">
        <v>33</v>
      </c>
      <c r="C124" s="54" t="s">
        <v>640</v>
      </c>
      <c r="D124" s="55">
        <v>0</v>
      </c>
      <c r="F124" s="1" t="s">
        <v>35</v>
      </c>
      <c r="I124" s="16">
        <f>IF(D124=0,0,ROUND(J124/D124,3))</f>
        <v>0</v>
      </c>
      <c r="J124" s="17"/>
    </row>
    <row r="125" spans="1:10" ht="21" hidden="1">
      <c r="A125" s="53" t="s">
        <v>209</v>
      </c>
      <c r="B125" s="53">
        <f>Ресурсы!B46</f>
        <v>0</v>
      </c>
      <c r="C125" s="54" t="s">
        <v>640</v>
      </c>
      <c r="D125" s="55" t="e">
        <f>ОКРУГЛВСЕ(IF(#REF!="",0,#REF!)*IF(D123="",0,D123),11)</f>
        <v>#VALUE!</v>
      </c>
      <c r="E125" s="1" t="s">
        <v>38</v>
      </c>
      <c r="F125" s="1" t="s">
        <v>86</v>
      </c>
      <c r="I125" s="17">
        <f>ROUND(Ресурсы!C46*Начисления!AV21,2)</f>
        <v>0</v>
      </c>
      <c r="J125" s="17" t="e">
        <f>ROUND(IF(D125="",0,D125)*IF(I125="",0,I125),2)</f>
        <v>#VALUE!</v>
      </c>
    </row>
    <row r="126" spans="1:4" ht="10.5" hidden="1">
      <c r="A126" s="55"/>
      <c r="B126" s="57" t="s">
        <v>42</v>
      </c>
      <c r="C126" s="54" t="s">
        <v>640</v>
      </c>
      <c r="D126" s="55"/>
    </row>
    <row r="127" spans="1:4" ht="10.5" hidden="1">
      <c r="A127" s="55"/>
      <c r="B127" s="57" t="s">
        <v>43</v>
      </c>
      <c r="C127" s="54" t="s">
        <v>640</v>
      </c>
      <c r="D127" s="55"/>
    </row>
    <row r="128" spans="1:4" ht="10.5" hidden="1">
      <c r="A128" s="55"/>
      <c r="B128" s="57" t="s">
        <v>44</v>
      </c>
      <c r="C128" s="54" t="s">
        <v>640</v>
      </c>
      <c r="D128" s="55"/>
    </row>
    <row r="129" spans="1:4" ht="10.5" hidden="1">
      <c r="A129" s="55"/>
      <c r="B129" s="57" t="s">
        <v>45</v>
      </c>
      <c r="C129" s="54" t="s">
        <v>640</v>
      </c>
      <c r="D129" s="55"/>
    </row>
    <row r="130" spans="1:4" ht="10.5" hidden="1">
      <c r="A130" s="55"/>
      <c r="B130" s="57" t="s">
        <v>46</v>
      </c>
      <c r="C130" s="54" t="s">
        <v>640</v>
      </c>
      <c r="D130" s="55"/>
    </row>
    <row r="131" spans="1:9" ht="21" hidden="1">
      <c r="A131" s="55"/>
      <c r="B131" s="57" t="s">
        <v>47</v>
      </c>
      <c r="C131" s="54" t="s">
        <v>640</v>
      </c>
      <c r="D131" s="55"/>
      <c r="E131" s="1" t="s">
        <v>48</v>
      </c>
      <c r="I131" s="22"/>
    </row>
    <row r="132" spans="1:4" ht="10.5" hidden="1">
      <c r="A132" s="55"/>
      <c r="B132" s="57" t="s">
        <v>49</v>
      </c>
      <c r="C132" s="54" t="s">
        <v>640</v>
      </c>
      <c r="D132" s="55"/>
    </row>
    <row r="133" spans="1:4" ht="10.5" hidden="1">
      <c r="A133" s="55"/>
      <c r="B133" s="57" t="s">
        <v>50</v>
      </c>
      <c r="C133" s="54" t="s">
        <v>640</v>
      </c>
      <c r="D133" s="55"/>
    </row>
    <row r="134" spans="1:4" ht="10.5" hidden="1">
      <c r="A134" s="55"/>
      <c r="B134" s="57" t="s">
        <v>51</v>
      </c>
      <c r="C134" s="54" t="s">
        <v>640</v>
      </c>
      <c r="D134" s="55"/>
    </row>
    <row r="135" spans="1:10" ht="10.5" hidden="1">
      <c r="A135" s="55"/>
      <c r="B135" s="57" t="s">
        <v>52</v>
      </c>
      <c r="C135" s="54" t="s">
        <v>640</v>
      </c>
      <c r="D135" s="55"/>
      <c r="F135" s="14" t="s">
        <v>53</v>
      </c>
      <c r="J135" s="23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</row>
    <row r="136" spans="1:10" ht="10.5" hidden="1">
      <c r="A136" s="55"/>
      <c r="B136" s="57" t="s">
        <v>54</v>
      </c>
      <c r="C136" s="54" t="s">
        <v>640</v>
      </c>
      <c r="D136" s="55"/>
      <c r="F136" s="14" t="s">
        <v>55</v>
      </c>
      <c r="J136" s="23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</c>
    </row>
    <row r="137" spans="1:10" ht="10.5" hidden="1">
      <c r="A137" s="55"/>
      <c r="B137" s="57" t="s">
        <v>56</v>
      </c>
      <c r="C137" s="54" t="s">
        <v>640</v>
      </c>
      <c r="D137" s="55"/>
      <c r="F137" s="14" t="s">
        <v>57</v>
      </c>
      <c r="J137" s="23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</c>
    </row>
    <row r="138" spans="1:10" ht="10.5" hidden="1">
      <c r="A138" s="55"/>
      <c r="B138" s="57" t="s">
        <v>58</v>
      </c>
      <c r="C138" s="54" t="s">
        <v>640</v>
      </c>
      <c r="D138" s="55"/>
      <c r="F138" s="14" t="s">
        <v>59</v>
      </c>
      <c r="J138" s="23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</row>
    <row r="139" spans="1:10" ht="10.5" hidden="1">
      <c r="A139" s="55"/>
      <c r="B139" s="57" t="s">
        <v>60</v>
      </c>
      <c r="C139" s="54" t="s">
        <v>640</v>
      </c>
      <c r="D139" s="55"/>
      <c r="F139" s="14" t="s">
        <v>61</v>
      </c>
      <c r="J139" s="23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</c>
    </row>
    <row r="140" spans="1:10" ht="10.5" hidden="1">
      <c r="A140" s="55"/>
      <c r="B140" s="57" t="s">
        <v>62</v>
      </c>
      <c r="C140" s="54" t="s">
        <v>640</v>
      </c>
      <c r="D140" s="55"/>
      <c r="F140" s="14" t="s">
        <v>63</v>
      </c>
      <c r="J140" s="23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</c>
    </row>
    <row r="141" spans="1:10" ht="10.5">
      <c r="A141" s="53" t="s">
        <v>210</v>
      </c>
      <c r="B141" s="53" t="s">
        <v>647</v>
      </c>
      <c r="C141" s="54" t="s">
        <v>640</v>
      </c>
      <c r="D141" s="55">
        <v>5</v>
      </c>
      <c r="E141" s="1" t="s">
        <v>30</v>
      </c>
      <c r="I141" s="13" t="e">
        <f>ROUND(СУММПРОИЗВЕСЛИ(1,E141:E143,"s",#REF!,I141:I143,0),2)</f>
        <v>#VALUE!</v>
      </c>
      <c r="J141" s="13" t="e">
        <f>ROUND(СУММПРОИЗВЕСЛИ(D141,E141:E143,"s",#REF!,I141:I143,0),2)</f>
        <v>#VALUE!</v>
      </c>
    </row>
    <row r="142" spans="1:10" ht="21" hidden="1">
      <c r="A142" s="53" t="s">
        <v>212</v>
      </c>
      <c r="B142" s="53" t="s">
        <v>33</v>
      </c>
      <c r="C142" s="54" t="s">
        <v>640</v>
      </c>
      <c r="D142" s="55">
        <v>0</v>
      </c>
      <c r="F142" s="1" t="s">
        <v>35</v>
      </c>
      <c r="I142" s="16">
        <f>IF(D142=0,0,ROUND(J142/D142,3))</f>
        <v>0</v>
      </c>
      <c r="J142" s="17"/>
    </row>
    <row r="143" spans="1:10" ht="21" hidden="1">
      <c r="A143" s="53" t="s">
        <v>213</v>
      </c>
      <c r="B143" s="53">
        <f>Ресурсы!B47</f>
        <v>0</v>
      </c>
      <c r="C143" s="54" t="s">
        <v>640</v>
      </c>
      <c r="D143" s="55" t="e">
        <f>ОКРУГЛВСЕ(IF(#REF!="",0,#REF!)*IF(D141="",0,D141),11)</f>
        <v>#VALUE!</v>
      </c>
      <c r="E143" s="1" t="s">
        <v>38</v>
      </c>
      <c r="F143" s="1" t="s">
        <v>86</v>
      </c>
      <c r="I143" s="17">
        <f>ROUND(Ресурсы!C47*Начисления!AV22,2)</f>
        <v>0</v>
      </c>
      <c r="J143" s="17" t="e">
        <f>ROUND(IF(D143="",0,D143)*IF(I143="",0,I143),2)</f>
        <v>#VALUE!</v>
      </c>
    </row>
    <row r="144" spans="1:4" ht="10.5" hidden="1">
      <c r="A144" s="55"/>
      <c r="B144" s="57" t="s">
        <v>42</v>
      </c>
      <c r="C144" s="54" t="s">
        <v>640</v>
      </c>
      <c r="D144" s="55"/>
    </row>
    <row r="145" spans="1:4" ht="10.5" hidden="1">
      <c r="A145" s="55"/>
      <c r="B145" s="57" t="s">
        <v>43</v>
      </c>
      <c r="C145" s="54" t="s">
        <v>640</v>
      </c>
      <c r="D145" s="55"/>
    </row>
    <row r="146" spans="1:4" ht="10.5" hidden="1">
      <c r="A146" s="55"/>
      <c r="B146" s="57" t="s">
        <v>44</v>
      </c>
      <c r="C146" s="54" t="s">
        <v>640</v>
      </c>
      <c r="D146" s="55"/>
    </row>
    <row r="147" spans="1:4" ht="10.5" hidden="1">
      <c r="A147" s="55"/>
      <c r="B147" s="57" t="s">
        <v>45</v>
      </c>
      <c r="C147" s="54" t="s">
        <v>640</v>
      </c>
      <c r="D147" s="55"/>
    </row>
    <row r="148" spans="1:4" ht="10.5" hidden="1">
      <c r="A148" s="55"/>
      <c r="B148" s="57" t="s">
        <v>46</v>
      </c>
      <c r="C148" s="54" t="s">
        <v>640</v>
      </c>
      <c r="D148" s="55"/>
    </row>
    <row r="149" spans="1:9" ht="21" hidden="1">
      <c r="A149" s="55"/>
      <c r="B149" s="57" t="s">
        <v>47</v>
      </c>
      <c r="C149" s="54" t="s">
        <v>640</v>
      </c>
      <c r="D149" s="55"/>
      <c r="E149" s="1" t="s">
        <v>48</v>
      </c>
      <c r="I149" s="22"/>
    </row>
    <row r="150" spans="1:4" ht="10.5" hidden="1">
      <c r="A150" s="55"/>
      <c r="B150" s="57" t="s">
        <v>49</v>
      </c>
      <c r="C150" s="54" t="s">
        <v>640</v>
      </c>
      <c r="D150" s="55"/>
    </row>
    <row r="151" spans="1:4" ht="10.5" hidden="1">
      <c r="A151" s="55"/>
      <c r="B151" s="57" t="s">
        <v>50</v>
      </c>
      <c r="C151" s="54" t="s">
        <v>640</v>
      </c>
      <c r="D151" s="55"/>
    </row>
    <row r="152" spans="1:4" ht="10.5" hidden="1">
      <c r="A152" s="55"/>
      <c r="B152" s="57" t="s">
        <v>51</v>
      </c>
      <c r="C152" s="54" t="s">
        <v>640</v>
      </c>
      <c r="D152" s="55"/>
    </row>
    <row r="153" spans="1:10" ht="10.5" hidden="1">
      <c r="A153" s="55"/>
      <c r="B153" s="57" t="s">
        <v>52</v>
      </c>
      <c r="C153" s="54" t="s">
        <v>640</v>
      </c>
      <c r="D153" s="55"/>
      <c r="F153" s="14" t="s">
        <v>53</v>
      </c>
      <c r="J153" s="23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</row>
    <row r="154" spans="1:10" ht="10.5" hidden="1">
      <c r="A154" s="55"/>
      <c r="B154" s="57" t="s">
        <v>54</v>
      </c>
      <c r="C154" s="54" t="s">
        <v>640</v>
      </c>
      <c r="D154" s="55"/>
      <c r="F154" s="14" t="s">
        <v>55</v>
      </c>
      <c r="J154" s="23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</c>
    </row>
    <row r="155" spans="1:10" ht="10.5" hidden="1">
      <c r="A155" s="55"/>
      <c r="B155" s="57" t="s">
        <v>56</v>
      </c>
      <c r="C155" s="54" t="s">
        <v>640</v>
      </c>
      <c r="D155" s="55"/>
      <c r="F155" s="14" t="s">
        <v>57</v>
      </c>
      <c r="J155" s="23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</row>
    <row r="156" spans="1:10" ht="10.5" hidden="1">
      <c r="A156" s="55"/>
      <c r="B156" s="57" t="s">
        <v>58</v>
      </c>
      <c r="C156" s="54" t="s">
        <v>640</v>
      </c>
      <c r="D156" s="55"/>
      <c r="F156" s="14" t="s">
        <v>59</v>
      </c>
      <c r="J156" s="23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</row>
    <row r="157" spans="1:10" ht="10.5" hidden="1">
      <c r="A157" s="55"/>
      <c r="B157" s="57" t="s">
        <v>60</v>
      </c>
      <c r="C157" s="54" t="s">
        <v>640</v>
      </c>
      <c r="D157" s="55"/>
      <c r="F157" s="14" t="s">
        <v>61</v>
      </c>
      <c r="J157" s="23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</c>
    </row>
    <row r="158" spans="1:10" ht="10.5" hidden="1">
      <c r="A158" s="55"/>
      <c r="B158" s="57" t="s">
        <v>62</v>
      </c>
      <c r="C158" s="54" t="s">
        <v>640</v>
      </c>
      <c r="D158" s="55"/>
      <c r="F158" s="14" t="s">
        <v>63</v>
      </c>
      <c r="J158" s="23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</row>
    <row r="159" spans="1:10" ht="10.5">
      <c r="A159" s="53" t="s">
        <v>214</v>
      </c>
      <c r="B159" s="53" t="s">
        <v>648</v>
      </c>
      <c r="C159" s="54" t="s">
        <v>640</v>
      </c>
      <c r="D159" s="55">
        <v>1</v>
      </c>
      <c r="E159" s="1" t="s">
        <v>30</v>
      </c>
      <c r="I159" s="13" t="e">
        <f>ROUND(СУММПРОИЗВЕСЛИ(1,E159:E161,"s",#REF!,I159:I161,0),2)</f>
        <v>#VALUE!</v>
      </c>
      <c r="J159" s="13" t="e">
        <f>ROUND(СУММПРОИЗВЕСЛИ(D159,E159:E161,"s",#REF!,I159:I161,0),2)</f>
        <v>#VALUE!</v>
      </c>
    </row>
    <row r="160" spans="1:10" ht="21" hidden="1">
      <c r="A160" s="53" t="s">
        <v>216</v>
      </c>
      <c r="B160" s="53" t="s">
        <v>33</v>
      </c>
      <c r="C160" s="54" t="s">
        <v>640</v>
      </c>
      <c r="D160" s="55">
        <v>0</v>
      </c>
      <c r="F160" s="1" t="s">
        <v>35</v>
      </c>
      <c r="I160" s="16">
        <f>IF(D160=0,0,ROUND(J160/D160,3))</f>
        <v>0</v>
      </c>
      <c r="J160" s="17"/>
    </row>
    <row r="161" spans="1:10" ht="21" hidden="1">
      <c r="A161" s="53" t="s">
        <v>217</v>
      </c>
      <c r="B161" s="53">
        <f>Ресурсы!B48</f>
        <v>0</v>
      </c>
      <c r="C161" s="54" t="s">
        <v>640</v>
      </c>
      <c r="D161" s="55" t="e">
        <f>ОКРУГЛВСЕ(IF(#REF!="",0,#REF!)*IF(D159="",0,D159),11)</f>
        <v>#VALUE!</v>
      </c>
      <c r="E161" s="1" t="s">
        <v>38</v>
      </c>
      <c r="F161" s="1" t="s">
        <v>86</v>
      </c>
      <c r="I161" s="17">
        <f>ROUND(Ресурсы!C48*Начисления!AV23,2)</f>
        <v>0</v>
      </c>
      <c r="J161" s="17" t="e">
        <f>ROUND(IF(D161="",0,D161)*IF(I161="",0,I161),2)</f>
        <v>#VALUE!</v>
      </c>
    </row>
    <row r="162" spans="1:4" ht="10.5" hidden="1">
      <c r="A162" s="55"/>
      <c r="B162" s="57" t="s">
        <v>42</v>
      </c>
      <c r="C162" s="54" t="s">
        <v>640</v>
      </c>
      <c r="D162" s="55"/>
    </row>
    <row r="163" spans="1:4" ht="10.5" hidden="1">
      <c r="A163" s="55"/>
      <c r="B163" s="57" t="s">
        <v>43</v>
      </c>
      <c r="C163" s="54" t="s">
        <v>640</v>
      </c>
      <c r="D163" s="55"/>
    </row>
    <row r="164" spans="1:4" ht="10.5" hidden="1">
      <c r="A164" s="55"/>
      <c r="B164" s="57" t="s">
        <v>44</v>
      </c>
      <c r="C164" s="54" t="s">
        <v>640</v>
      </c>
      <c r="D164" s="55"/>
    </row>
    <row r="165" spans="1:4" ht="10.5" hidden="1">
      <c r="A165" s="55"/>
      <c r="B165" s="57" t="s">
        <v>45</v>
      </c>
      <c r="C165" s="54" t="s">
        <v>640</v>
      </c>
      <c r="D165" s="55"/>
    </row>
    <row r="166" spans="1:4" ht="10.5" hidden="1">
      <c r="A166" s="55"/>
      <c r="B166" s="57" t="s">
        <v>46</v>
      </c>
      <c r="C166" s="54" t="s">
        <v>640</v>
      </c>
      <c r="D166" s="55"/>
    </row>
    <row r="167" spans="1:9" ht="21" hidden="1">
      <c r="A167" s="55"/>
      <c r="B167" s="57" t="s">
        <v>47</v>
      </c>
      <c r="C167" s="54" t="s">
        <v>640</v>
      </c>
      <c r="D167" s="55"/>
      <c r="E167" s="1" t="s">
        <v>48</v>
      </c>
      <c r="I167" s="22"/>
    </row>
    <row r="168" spans="1:4" ht="10.5" hidden="1">
      <c r="A168" s="55"/>
      <c r="B168" s="57" t="s">
        <v>49</v>
      </c>
      <c r="C168" s="54" t="s">
        <v>640</v>
      </c>
      <c r="D168" s="55"/>
    </row>
    <row r="169" spans="1:4" ht="10.5" hidden="1">
      <c r="A169" s="55"/>
      <c r="B169" s="57" t="s">
        <v>50</v>
      </c>
      <c r="C169" s="54" t="s">
        <v>640</v>
      </c>
      <c r="D169" s="55"/>
    </row>
    <row r="170" spans="1:4" ht="10.5" hidden="1">
      <c r="A170" s="55"/>
      <c r="B170" s="57" t="s">
        <v>51</v>
      </c>
      <c r="C170" s="54" t="s">
        <v>640</v>
      </c>
      <c r="D170" s="55"/>
    </row>
    <row r="171" spans="1:10" ht="10.5" hidden="1">
      <c r="A171" s="55"/>
      <c r="B171" s="57" t="s">
        <v>52</v>
      </c>
      <c r="C171" s="54" t="s">
        <v>640</v>
      </c>
      <c r="D171" s="55"/>
      <c r="F171" s="14" t="s">
        <v>53</v>
      </c>
      <c r="J171" s="23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</row>
    <row r="172" spans="1:10" ht="10.5" hidden="1">
      <c r="A172" s="55"/>
      <c r="B172" s="57" t="s">
        <v>54</v>
      </c>
      <c r="C172" s="54" t="s">
        <v>640</v>
      </c>
      <c r="D172" s="55"/>
      <c r="F172" s="14" t="s">
        <v>55</v>
      </c>
      <c r="J172" s="23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</c>
    </row>
    <row r="173" spans="1:10" ht="10.5" hidden="1">
      <c r="A173" s="55"/>
      <c r="B173" s="57" t="s">
        <v>56</v>
      </c>
      <c r="C173" s="54" t="s">
        <v>640</v>
      </c>
      <c r="D173" s="55"/>
      <c r="F173" s="14" t="s">
        <v>57</v>
      </c>
      <c r="J173" s="23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</c>
    </row>
    <row r="174" spans="1:10" ht="10.5" hidden="1">
      <c r="A174" s="55"/>
      <c r="B174" s="57" t="s">
        <v>58</v>
      </c>
      <c r="C174" s="54" t="s">
        <v>640</v>
      </c>
      <c r="D174" s="55"/>
      <c r="F174" s="14" t="s">
        <v>59</v>
      </c>
      <c r="J174" s="23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</row>
    <row r="175" spans="1:10" ht="10.5" hidden="1">
      <c r="A175" s="55"/>
      <c r="B175" s="57" t="s">
        <v>60</v>
      </c>
      <c r="C175" s="54" t="s">
        <v>640</v>
      </c>
      <c r="D175" s="55"/>
      <c r="F175" s="14" t="s">
        <v>61</v>
      </c>
      <c r="J175" s="23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</c>
    </row>
    <row r="176" spans="1:10" ht="10.5" hidden="1">
      <c r="A176" s="55"/>
      <c r="B176" s="57" t="s">
        <v>62</v>
      </c>
      <c r="C176" s="54" t="s">
        <v>640</v>
      </c>
      <c r="D176" s="55"/>
      <c r="F176" s="14" t="s">
        <v>63</v>
      </c>
      <c r="J176" s="23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</c>
    </row>
    <row r="177" spans="1:10" ht="10.5">
      <c r="A177" s="53" t="s">
        <v>218</v>
      </c>
      <c r="B177" s="53" t="s">
        <v>649</v>
      </c>
      <c r="C177" s="54" t="s">
        <v>640</v>
      </c>
      <c r="D177" s="55">
        <v>2</v>
      </c>
      <c r="E177" s="1" t="s">
        <v>30</v>
      </c>
      <c r="I177" s="13" t="e">
        <f>ROUND(СУММПРОИЗВЕСЛИ(1,E177:E179,"s",#REF!,I177:I179,0),2)</f>
        <v>#VALUE!</v>
      </c>
      <c r="J177" s="13" t="e">
        <f>ROUND(СУММПРОИЗВЕСЛИ(D177,E177:E179,"s",#REF!,I177:I179,0),2)</f>
        <v>#VALUE!</v>
      </c>
    </row>
    <row r="178" spans="1:10" ht="21" hidden="1">
      <c r="A178" s="53" t="s">
        <v>220</v>
      </c>
      <c r="B178" s="53" t="s">
        <v>33</v>
      </c>
      <c r="C178" s="54" t="s">
        <v>640</v>
      </c>
      <c r="D178" s="55">
        <v>0</v>
      </c>
      <c r="F178" s="1" t="s">
        <v>35</v>
      </c>
      <c r="I178" s="16">
        <f>IF(D178=0,0,ROUND(J178/D178,3))</f>
        <v>0</v>
      </c>
      <c r="J178" s="17"/>
    </row>
    <row r="179" spans="1:10" ht="21" hidden="1">
      <c r="A179" s="53" t="s">
        <v>221</v>
      </c>
      <c r="B179" s="53">
        <f>Ресурсы!B49</f>
        <v>0</v>
      </c>
      <c r="C179" s="54" t="s">
        <v>640</v>
      </c>
      <c r="D179" s="55" t="e">
        <f>ОКРУГЛВСЕ(IF(#REF!="",0,#REF!)*IF(D177="",0,D177),11)</f>
        <v>#VALUE!</v>
      </c>
      <c r="E179" s="1" t="s">
        <v>38</v>
      </c>
      <c r="F179" s="1" t="s">
        <v>86</v>
      </c>
      <c r="I179" s="17">
        <f>ROUND(Ресурсы!C49*Начисления!AV24,2)</f>
        <v>0</v>
      </c>
      <c r="J179" s="17" t="e">
        <f>ROUND(IF(D179="",0,D179)*IF(I179="",0,I179),2)</f>
        <v>#VALUE!</v>
      </c>
    </row>
    <row r="180" spans="1:4" ht="10.5" hidden="1">
      <c r="A180" s="55"/>
      <c r="B180" s="57" t="s">
        <v>42</v>
      </c>
      <c r="C180" s="54" t="s">
        <v>640</v>
      </c>
      <c r="D180" s="55"/>
    </row>
    <row r="181" spans="1:4" ht="10.5" hidden="1">
      <c r="A181" s="55"/>
      <c r="B181" s="57" t="s">
        <v>43</v>
      </c>
      <c r="C181" s="54" t="s">
        <v>640</v>
      </c>
      <c r="D181" s="55"/>
    </row>
    <row r="182" spans="1:4" ht="10.5" hidden="1">
      <c r="A182" s="55"/>
      <c r="B182" s="57" t="s">
        <v>44</v>
      </c>
      <c r="C182" s="54" t="s">
        <v>640</v>
      </c>
      <c r="D182" s="55"/>
    </row>
    <row r="183" spans="1:4" ht="10.5" hidden="1">
      <c r="A183" s="55"/>
      <c r="B183" s="57" t="s">
        <v>45</v>
      </c>
      <c r="C183" s="54" t="s">
        <v>640</v>
      </c>
      <c r="D183" s="55"/>
    </row>
    <row r="184" spans="1:4" ht="10.5" hidden="1">
      <c r="A184" s="55"/>
      <c r="B184" s="57" t="s">
        <v>46</v>
      </c>
      <c r="C184" s="54" t="s">
        <v>640</v>
      </c>
      <c r="D184" s="55"/>
    </row>
    <row r="185" spans="1:9" ht="21" hidden="1">
      <c r="A185" s="55"/>
      <c r="B185" s="57" t="s">
        <v>47</v>
      </c>
      <c r="C185" s="54" t="s">
        <v>640</v>
      </c>
      <c r="D185" s="55"/>
      <c r="E185" s="1" t="s">
        <v>48</v>
      </c>
      <c r="I185" s="22"/>
    </row>
    <row r="186" spans="1:4" ht="10.5" hidden="1">
      <c r="A186" s="55"/>
      <c r="B186" s="57" t="s">
        <v>49</v>
      </c>
      <c r="C186" s="54" t="s">
        <v>640</v>
      </c>
      <c r="D186" s="55"/>
    </row>
    <row r="187" spans="1:4" ht="10.5" hidden="1">
      <c r="A187" s="55"/>
      <c r="B187" s="57" t="s">
        <v>50</v>
      </c>
      <c r="C187" s="54" t="s">
        <v>640</v>
      </c>
      <c r="D187" s="55"/>
    </row>
    <row r="188" spans="1:4" ht="10.5" hidden="1">
      <c r="A188" s="55"/>
      <c r="B188" s="57" t="s">
        <v>51</v>
      </c>
      <c r="C188" s="54" t="s">
        <v>640</v>
      </c>
      <c r="D188" s="55"/>
    </row>
    <row r="189" spans="1:10" ht="10.5" hidden="1">
      <c r="A189" s="55"/>
      <c r="B189" s="57" t="s">
        <v>52</v>
      </c>
      <c r="C189" s="54" t="s">
        <v>640</v>
      </c>
      <c r="D189" s="55"/>
      <c r="F189" s="14" t="s">
        <v>53</v>
      </c>
      <c r="J189" s="23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</c>
    </row>
    <row r="190" spans="1:10" ht="10.5" hidden="1">
      <c r="A190" s="55"/>
      <c r="B190" s="57" t="s">
        <v>54</v>
      </c>
      <c r="C190" s="54" t="s">
        <v>640</v>
      </c>
      <c r="D190" s="55"/>
      <c r="F190" s="14" t="s">
        <v>55</v>
      </c>
      <c r="J190" s="23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</c>
    </row>
    <row r="191" spans="1:10" ht="10.5" hidden="1">
      <c r="A191" s="55"/>
      <c r="B191" s="57" t="s">
        <v>56</v>
      </c>
      <c r="C191" s="54" t="s">
        <v>640</v>
      </c>
      <c r="D191" s="55"/>
      <c r="F191" s="14" t="s">
        <v>57</v>
      </c>
      <c r="J191" s="23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</c>
    </row>
    <row r="192" spans="1:10" ht="10.5" hidden="1">
      <c r="A192" s="55"/>
      <c r="B192" s="57" t="s">
        <v>58</v>
      </c>
      <c r="C192" s="54" t="s">
        <v>640</v>
      </c>
      <c r="D192" s="55"/>
      <c r="F192" s="14" t="s">
        <v>59</v>
      </c>
      <c r="J192" s="23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</c>
    </row>
    <row r="193" spans="1:10" ht="10.5" hidden="1">
      <c r="A193" s="55"/>
      <c r="B193" s="57" t="s">
        <v>60</v>
      </c>
      <c r="C193" s="54" t="s">
        <v>640</v>
      </c>
      <c r="D193" s="55"/>
      <c r="F193" s="14" t="s">
        <v>61</v>
      </c>
      <c r="J193" s="23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</c>
    </row>
    <row r="194" spans="1:10" ht="10.5" hidden="1">
      <c r="A194" s="55"/>
      <c r="B194" s="57" t="s">
        <v>62</v>
      </c>
      <c r="C194" s="54" t="s">
        <v>640</v>
      </c>
      <c r="D194" s="55"/>
      <c r="F194" s="14" t="s">
        <v>63</v>
      </c>
      <c r="J194" s="23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</row>
    <row r="195" spans="1:10" ht="10.5">
      <c r="A195" s="53" t="s">
        <v>222</v>
      </c>
      <c r="B195" s="53" t="s">
        <v>136</v>
      </c>
      <c r="C195" s="54" t="s">
        <v>640</v>
      </c>
      <c r="D195" s="55">
        <v>1</v>
      </c>
      <c r="E195" s="1" t="s">
        <v>30</v>
      </c>
      <c r="I195" s="13" t="e">
        <f>ROUND(СУММПРОИЗВЕСЛИ(1,E195:E197,"s",#REF!,I195:I197,0),2)</f>
        <v>#VALUE!</v>
      </c>
      <c r="J195" s="13" t="e">
        <f>ROUND(СУММПРОИЗВЕСЛИ(D195,E195:E197,"s",#REF!,I195:I197,0),2)</f>
        <v>#VALUE!</v>
      </c>
    </row>
    <row r="196" spans="1:10" ht="21" hidden="1">
      <c r="A196" s="14" t="s">
        <v>224</v>
      </c>
      <c r="B196" s="14" t="s">
        <v>33</v>
      </c>
      <c r="C196" s="15" t="s">
        <v>70</v>
      </c>
      <c r="D196" s="1">
        <v>0</v>
      </c>
      <c r="F196" s="1" t="s">
        <v>35</v>
      </c>
      <c r="I196" s="16">
        <f>IF(D196=0,0,ROUND(J196/D196,3))</f>
        <v>0</v>
      </c>
      <c r="J196" s="17"/>
    </row>
    <row r="197" spans="1:10" ht="21" hidden="1">
      <c r="A197" s="14" t="s">
        <v>225</v>
      </c>
      <c r="B197" s="14">
        <f>Ресурсы!B41</f>
        <v>0</v>
      </c>
      <c r="C197" s="15"/>
      <c r="D197" s="1" t="e">
        <f>ОКРУГЛВСЕ(IF(#REF!="",0,#REF!)*IF(D195="",0,D195),11)</f>
        <v>#VALUE!</v>
      </c>
      <c r="E197" s="1" t="s">
        <v>38</v>
      </c>
      <c r="F197" s="1" t="s">
        <v>86</v>
      </c>
      <c r="I197" s="17">
        <f>ROUND(Ресурсы!C41*Начисления!AV25,2)</f>
        <v>0</v>
      </c>
      <c r="J197" s="17" t="e">
        <f>ROUND(IF(D197="",0,D197)*IF(I197="",0,I197),2)</f>
        <v>#VALUE!</v>
      </c>
    </row>
    <row r="198" ht="10.5" hidden="1">
      <c r="B198" s="21" t="s">
        <v>42</v>
      </c>
    </row>
    <row r="199" ht="10.5" hidden="1">
      <c r="B199" s="21" t="s">
        <v>43</v>
      </c>
    </row>
    <row r="200" ht="10.5" hidden="1">
      <c r="B200" s="21" t="s">
        <v>44</v>
      </c>
    </row>
    <row r="201" ht="10.5" hidden="1">
      <c r="B201" s="21" t="s">
        <v>45</v>
      </c>
    </row>
    <row r="202" ht="10.5" hidden="1">
      <c r="B202" s="21" t="s">
        <v>46</v>
      </c>
    </row>
    <row r="203" spans="2:9" ht="21" hidden="1">
      <c r="B203" s="21" t="s">
        <v>47</v>
      </c>
      <c r="E203" s="1" t="s">
        <v>48</v>
      </c>
      <c r="I203" s="22"/>
    </row>
    <row r="204" ht="10.5" hidden="1">
      <c r="B204" s="21" t="s">
        <v>49</v>
      </c>
    </row>
    <row r="205" ht="10.5" hidden="1">
      <c r="B205" s="21" t="s">
        <v>50</v>
      </c>
    </row>
    <row r="206" ht="10.5" hidden="1">
      <c r="B206" s="21" t="s">
        <v>51</v>
      </c>
    </row>
    <row r="207" spans="2:10" ht="10.5" hidden="1">
      <c r="B207" s="21" t="s">
        <v>52</v>
      </c>
      <c r="F207" s="14" t="s">
        <v>53</v>
      </c>
      <c r="J207" s="23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</row>
    <row r="208" spans="2:10" ht="10.5" hidden="1">
      <c r="B208" s="21" t="s">
        <v>54</v>
      </c>
      <c r="F208" s="14" t="s">
        <v>55</v>
      </c>
      <c r="J208" s="23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</c>
    </row>
    <row r="209" spans="2:10" ht="10.5" hidden="1">
      <c r="B209" s="21" t="s">
        <v>56</v>
      </c>
      <c r="F209" s="14" t="s">
        <v>57</v>
      </c>
      <c r="J209" s="23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</row>
    <row r="210" spans="2:10" ht="10.5" hidden="1">
      <c r="B210" s="21" t="s">
        <v>58</v>
      </c>
      <c r="F210" s="14" t="s">
        <v>59</v>
      </c>
      <c r="J210" s="23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</row>
    <row r="211" spans="2:10" ht="10.5" hidden="1">
      <c r="B211" s="21" t="s">
        <v>60</v>
      </c>
      <c r="F211" s="14" t="s">
        <v>61</v>
      </c>
      <c r="J211" s="23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</c>
    </row>
    <row r="212" spans="2:10" ht="10.5" hidden="1">
      <c r="B212" s="21" t="s">
        <v>62</v>
      </c>
      <c r="F212" s="14" t="s">
        <v>63</v>
      </c>
      <c r="J212" s="23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</row>
    <row r="213" spans="1:4" ht="10.5">
      <c r="A213" s="26"/>
      <c r="B213" s="26"/>
      <c r="C213" s="26"/>
      <c r="D213" s="26"/>
    </row>
    <row r="215" ht="10.5">
      <c r="B215" s="46" t="s">
        <v>296</v>
      </c>
    </row>
    <row r="216" ht="10.5">
      <c r="B216" s="46"/>
    </row>
    <row r="217" ht="10.5">
      <c r="B217" s="46"/>
    </row>
    <row r="218" ht="10.5">
      <c r="B218" s="46"/>
    </row>
    <row r="219" ht="10.5">
      <c r="B219" s="46" t="s">
        <v>298</v>
      </c>
    </row>
  </sheetData>
  <sheetProtection/>
  <mergeCells count="9">
    <mergeCell ref="D15:D16"/>
    <mergeCell ref="C15:C16"/>
    <mergeCell ref="A15:A16"/>
    <mergeCell ref="B15:B16"/>
    <mergeCell ref="A13:D13"/>
    <mergeCell ref="C6:D6"/>
    <mergeCell ref="A12:D12"/>
    <mergeCell ref="C2:D2"/>
    <mergeCell ref="C4:D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2:N10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2" width="44.421875" style="5" customWidth="1"/>
    <col min="3" max="3" width="3.421875" style="41" customWidth="1"/>
    <col min="4" max="4" width="6.00390625" style="44" customWidth="1"/>
    <col min="5" max="5" width="6.00390625" style="5" customWidth="1"/>
    <col min="6" max="9" width="12.7109375" style="44" customWidth="1"/>
    <col min="10" max="11" width="18.7109375" style="44" customWidth="1"/>
    <col min="12" max="12" width="12.7109375" style="44" customWidth="1"/>
    <col min="13" max="13" width="9.140625" style="44" customWidth="1"/>
    <col min="14" max="14" width="3.421875" style="41" hidden="1" customWidth="1"/>
    <col min="15" max="16384" width="9.140625" style="44" customWidth="1"/>
  </cols>
  <sheetData>
    <row r="2" spans="1:14" ht="10.5">
      <c r="A2" s="85"/>
      <c r="B2" s="91"/>
      <c r="C2" s="91"/>
      <c r="D2" s="92"/>
      <c r="E2" s="91"/>
      <c r="F2" s="92"/>
      <c r="G2" s="92"/>
      <c r="H2" s="92"/>
      <c r="N2" s="44"/>
    </row>
    <row r="3" spans="1:14" ht="10.5">
      <c r="A3" s="40"/>
      <c r="B3" s="87" t="s">
        <v>449</v>
      </c>
      <c r="C3" s="87"/>
      <c r="D3" s="87"/>
      <c r="E3" s="87"/>
      <c r="F3" s="87"/>
      <c r="G3" s="87"/>
      <c r="H3" s="87"/>
      <c r="N3" s="44"/>
    </row>
    <row r="4" spans="1:14" ht="10.5">
      <c r="A4" s="40"/>
      <c r="B4" s="87" t="s">
        <v>450</v>
      </c>
      <c r="C4" s="87"/>
      <c r="D4" s="87"/>
      <c r="E4" s="87"/>
      <c r="F4" s="87"/>
      <c r="G4" s="87"/>
      <c r="H4" s="87"/>
      <c r="N4" s="44"/>
    </row>
    <row r="5" spans="1:14" ht="10.5">
      <c r="A5" s="85"/>
      <c r="B5" s="91"/>
      <c r="C5" s="91"/>
      <c r="D5" s="92"/>
      <c r="E5" s="91"/>
      <c r="F5" s="92"/>
      <c r="G5" s="92"/>
      <c r="H5" s="92"/>
      <c r="N5" s="44"/>
    </row>
    <row r="6" spans="1:13" s="39" customFormat="1" ht="10.5">
      <c r="A6" s="6"/>
      <c r="B6" s="39" t="s">
        <v>300</v>
      </c>
      <c r="C6" s="39" t="s">
        <v>513</v>
      </c>
      <c r="D6" s="34" t="s">
        <v>514</v>
      </c>
      <c r="E6" s="39" t="s">
        <v>515</v>
      </c>
      <c r="F6" s="39" t="s">
        <v>516</v>
      </c>
      <c r="G6" s="39" t="s">
        <v>517</v>
      </c>
      <c r="H6" s="39" t="s">
        <v>518</v>
      </c>
      <c r="I6" s="39" t="s">
        <v>519</v>
      </c>
      <c r="J6" s="39" t="s">
        <v>520</v>
      </c>
      <c r="K6" s="39" t="s">
        <v>521</v>
      </c>
      <c r="L6" s="39" t="s">
        <v>522</v>
      </c>
      <c r="M6" s="39" t="s">
        <v>523</v>
      </c>
    </row>
    <row r="7" spans="1:14" ht="10.5">
      <c r="A7" s="33">
        <v>1</v>
      </c>
      <c r="B7" s="5" t="s">
        <v>226</v>
      </c>
      <c r="C7" s="41" t="s">
        <v>524</v>
      </c>
      <c r="D7" s="44">
        <v>0</v>
      </c>
      <c r="E7" s="44"/>
      <c r="F7" s="38">
        <f>ROUND(SUM('Базовые цены с учетом расхода'!B6:B25),2)</f>
        <v>0</v>
      </c>
      <c r="G7" s="38">
        <f>ROUND(SUM('Базовые цены с учетом расхода'!C6:C25),2)</f>
        <v>0</v>
      </c>
      <c r="H7" s="38">
        <f>ROUND(SUM('Базовые цены с учетом расхода'!D6:D25),2)</f>
        <v>0</v>
      </c>
      <c r="I7" s="38">
        <f>ROUND(SUM('Базовые цены с учетом расхода'!E6:E25),2)</f>
        <v>0</v>
      </c>
      <c r="J7" s="45">
        <f>ROUND(SUM('Базовые цены с учетом расхода'!I6:I25),8)</f>
        <v>504.2559</v>
      </c>
      <c r="K7" s="45">
        <f>ROUND(SUM('Базовые цены с учетом расхода'!K6:K25),8)</f>
        <v>124.820428</v>
      </c>
      <c r="L7" s="38">
        <f>ROUND(SUM('Базовые цены с учетом расхода'!F6:F25),2)</f>
        <v>0</v>
      </c>
      <c r="N7" s="41" t="s">
        <v>509</v>
      </c>
    </row>
    <row r="8" spans="1:14" ht="10.5">
      <c r="A8" s="33">
        <v>2</v>
      </c>
      <c r="B8" s="5" t="s">
        <v>227</v>
      </c>
      <c r="C8" s="41" t="s">
        <v>525</v>
      </c>
      <c r="D8" s="44">
        <v>0</v>
      </c>
      <c r="F8" s="38">
        <f>ROUND(SUMIF(Определители!I6:I25,"= ",'Базовые цены с учетом расхода'!B6:B25),2)</f>
        <v>0</v>
      </c>
      <c r="G8" s="38">
        <f>ROUND(SUMIF(Определители!I6:I25,"= ",'Базовые цены с учетом расхода'!C6:C25),2)</f>
        <v>0</v>
      </c>
      <c r="H8" s="38">
        <f>ROUND(SUMIF(Определители!I6:I25,"= ",'Базовые цены с учетом расхода'!D6:D25),2)</f>
        <v>0</v>
      </c>
      <c r="I8" s="38">
        <f>ROUND(SUMIF(Определители!I6:I25,"= ",'Базовые цены с учетом расхода'!E6:E25),2)</f>
        <v>0</v>
      </c>
      <c r="J8" s="45">
        <f>ROUND(SUMIF(Определители!I6:I25,"= ",'Базовые цены с учетом расхода'!I6:I25),8)</f>
        <v>0</v>
      </c>
      <c r="K8" s="45">
        <f>ROUND(SUMIF(Определители!I6:I25,"= ",'Базовые цены с учетом расхода'!K6:K25),8)</f>
        <v>0</v>
      </c>
      <c r="L8" s="38">
        <f>ROUND(SUMIF(Определители!I6:I25,"= ",'Базовые цены с учетом расхода'!F6:F25),2)</f>
        <v>0</v>
      </c>
      <c r="N8" s="41" t="s">
        <v>511</v>
      </c>
    </row>
    <row r="9" spans="1:14" ht="10.5">
      <c r="A9" s="33">
        <v>3</v>
      </c>
      <c r="B9" s="5" t="s">
        <v>228</v>
      </c>
      <c r="C9" s="41" t="s">
        <v>525</v>
      </c>
      <c r="D9" s="44">
        <v>0</v>
      </c>
      <c r="F9" s="38">
        <f>ROUND(СУММПРОИЗВЕСЛИ(0.01,Определители!I6:I25," ",'Базовые цены с учетом расхода'!B6:B25,Начисления!X6:X25,0),2)</f>
        <v>0</v>
      </c>
      <c r="G9" s="38"/>
      <c r="H9" s="38"/>
      <c r="I9" s="38"/>
      <c r="J9" s="45"/>
      <c r="K9" s="45"/>
      <c r="L9" s="38"/>
      <c r="N9" s="41" t="s">
        <v>526</v>
      </c>
    </row>
    <row r="10" spans="1:14" ht="10.5">
      <c r="A10" s="33">
        <v>4</v>
      </c>
      <c r="B10" s="5" t="s">
        <v>229</v>
      </c>
      <c r="C10" s="41" t="s">
        <v>525</v>
      </c>
      <c r="D10" s="44">
        <v>0</v>
      </c>
      <c r="F10" s="38">
        <f>ROUND(СУММПРОИЗВЕСЛИ(0.01,Определители!I6:I25," ",'Базовые цены с учетом расхода'!B6:B25,Начисления!Y6:Y25,0),2)</f>
        <v>0</v>
      </c>
      <c r="G10" s="38"/>
      <c r="H10" s="38"/>
      <c r="I10" s="38"/>
      <c r="J10" s="45"/>
      <c r="K10" s="45"/>
      <c r="L10" s="38"/>
      <c r="N10" s="41" t="s">
        <v>512</v>
      </c>
    </row>
    <row r="11" spans="1:14" ht="10.5">
      <c r="A11" s="33">
        <v>5</v>
      </c>
      <c r="B11" s="5" t="s">
        <v>230</v>
      </c>
      <c r="C11" s="41" t="s">
        <v>525</v>
      </c>
      <c r="D11" s="44">
        <v>0</v>
      </c>
      <c r="F11" s="38">
        <f>ROUND(ТРАНСПРАСХОД(Определители!B6:B25,Определители!H6:H25,Определители!I6:I25,'Базовые цены с учетом расхода'!B6:B25,Начисления!Z6:Z25,Начисления!AA6:AA25),2)</f>
        <v>0</v>
      </c>
      <c r="G11" s="38"/>
      <c r="H11" s="38"/>
      <c r="I11" s="38"/>
      <c r="J11" s="45"/>
      <c r="K11" s="45"/>
      <c r="L11" s="38"/>
      <c r="N11" s="41" t="s">
        <v>527</v>
      </c>
    </row>
    <row r="12" spans="1:14" ht="10.5">
      <c r="A12" s="33">
        <v>6</v>
      </c>
      <c r="B12" s="5" t="s">
        <v>231</v>
      </c>
      <c r="C12" s="41" t="s">
        <v>525</v>
      </c>
      <c r="D12" s="44">
        <v>0</v>
      </c>
      <c r="F12" s="38">
        <f>ROUND(СУММПРОИЗВЕСЛИ(0.01,Определители!I6:I25," ",'Базовые цены с учетом расхода'!B6:B25,Начисления!AC6:AC25,0),2)</f>
        <v>0</v>
      </c>
      <c r="G12" s="38"/>
      <c r="H12" s="38"/>
      <c r="I12" s="38"/>
      <c r="J12" s="45"/>
      <c r="K12" s="45"/>
      <c r="L12" s="38"/>
      <c r="N12" s="41" t="s">
        <v>528</v>
      </c>
    </row>
    <row r="13" spans="1:14" ht="10.5">
      <c r="A13" s="33">
        <v>7</v>
      </c>
      <c r="B13" s="5" t="s">
        <v>232</v>
      </c>
      <c r="C13" s="41" t="s">
        <v>525</v>
      </c>
      <c r="D13" s="44">
        <v>0</v>
      </c>
      <c r="F13" s="38">
        <f>ROUND(СУММПРОИЗВЕСЛИ(0.01,Определители!I6:I25," ",'Базовые цены с учетом расхода'!B6:B25,Начисления!AF6:AF25,0),2)</f>
        <v>0</v>
      </c>
      <c r="G13" s="38"/>
      <c r="H13" s="38"/>
      <c r="I13" s="38"/>
      <c r="J13" s="45"/>
      <c r="K13" s="45"/>
      <c r="L13" s="38"/>
      <c r="N13" s="41" t="s">
        <v>529</v>
      </c>
    </row>
    <row r="14" spans="1:14" ht="10.5">
      <c r="A14" s="33">
        <v>8</v>
      </c>
      <c r="B14" s="5" t="s">
        <v>233</v>
      </c>
      <c r="C14" s="41" t="s">
        <v>525</v>
      </c>
      <c r="D14" s="44">
        <v>0</v>
      </c>
      <c r="F14" s="38">
        <f>ROUND(ЗАГОТСКЛАДРАСХОД(Определители!B6:B25,Определители!H6:H25,Определители!I6:I25,'Базовые цены с учетом расхода'!B6:B25,Начисления!X6:X25,Начисления!Y6:Y25,Начисления!Z6:Z25,Начисления!AA6:AA25,Начисления!AB6:AB25,Начисления!AC6:AC25,Начисления!AF6:AF25),2)</f>
        <v>0</v>
      </c>
      <c r="G14" s="38"/>
      <c r="H14" s="38"/>
      <c r="I14" s="38"/>
      <c r="J14" s="45"/>
      <c r="K14" s="45"/>
      <c r="L14" s="38"/>
      <c r="N14" s="41" t="s">
        <v>530</v>
      </c>
    </row>
    <row r="15" spans="1:14" ht="10.5">
      <c r="A15" s="33">
        <v>9</v>
      </c>
      <c r="B15" s="5" t="s">
        <v>234</v>
      </c>
      <c r="C15" s="41" t="s">
        <v>525</v>
      </c>
      <c r="D15" s="44">
        <v>0</v>
      </c>
      <c r="F15" s="38">
        <f>ROUND(СУММПРОИЗВЕСЛИ(1,Определители!I6:I25," ",'Базовые цены с учетом расхода'!M6:M25,Начисления!I6:I25,0),2)</f>
        <v>0</v>
      </c>
      <c r="G15" s="38"/>
      <c r="H15" s="38"/>
      <c r="I15" s="38"/>
      <c r="J15" s="45"/>
      <c r="K15" s="45"/>
      <c r="L15" s="38"/>
      <c r="N15" s="41" t="s">
        <v>531</v>
      </c>
    </row>
    <row r="16" spans="1:14" ht="10.5">
      <c r="A16" s="33">
        <v>10</v>
      </c>
      <c r="B16" s="5" t="s">
        <v>235</v>
      </c>
      <c r="C16" s="41" t="s">
        <v>532</v>
      </c>
      <c r="D16" s="44">
        <v>0</v>
      </c>
      <c r="F16" s="38">
        <f>ROUND((F15+F27+F53),2)</f>
        <v>0</v>
      </c>
      <c r="G16" s="38"/>
      <c r="H16" s="38"/>
      <c r="I16" s="38"/>
      <c r="J16" s="45"/>
      <c r="K16" s="45"/>
      <c r="L16" s="38"/>
      <c r="N16" s="41" t="s">
        <v>533</v>
      </c>
    </row>
    <row r="17" spans="1:14" ht="10.5">
      <c r="A17" s="33">
        <v>11</v>
      </c>
      <c r="B17" s="5" t="s">
        <v>236</v>
      </c>
      <c r="C17" s="41" t="s">
        <v>532</v>
      </c>
      <c r="D17" s="44">
        <v>0</v>
      </c>
      <c r="F17" s="38">
        <f>ROUND((F8+F9+F10+F11+F12+F13+F14+F16),2)</f>
        <v>0</v>
      </c>
      <c r="G17" s="38"/>
      <c r="H17" s="38"/>
      <c r="I17" s="38"/>
      <c r="J17" s="45"/>
      <c r="K17" s="45"/>
      <c r="L17" s="38"/>
      <c r="N17" s="41" t="s">
        <v>534</v>
      </c>
    </row>
    <row r="18" spans="1:14" ht="10.5">
      <c r="A18" s="33">
        <v>12</v>
      </c>
      <c r="B18" s="5" t="s">
        <v>237</v>
      </c>
      <c r="C18" s="41" t="s">
        <v>525</v>
      </c>
      <c r="D18" s="44">
        <v>0</v>
      </c>
      <c r="F18" s="38">
        <f>ROUND(SUMIF(Определители!I6:I25,"=1",'Базовые цены с учетом расхода'!B6:B25),2)</f>
        <v>0</v>
      </c>
      <c r="G18" s="38">
        <f>ROUND(SUMIF(Определители!I6:I25,"=1",'Базовые цены с учетом расхода'!C6:C25),2)</f>
        <v>0</v>
      </c>
      <c r="H18" s="38">
        <f>ROUND(SUMIF(Определители!I6:I25,"=1",'Базовые цены с учетом расхода'!D6:D25),2)</f>
        <v>0</v>
      </c>
      <c r="I18" s="38">
        <f>ROUND(SUMIF(Определители!I6:I25,"=1",'Базовые цены с учетом расхода'!E6:E25),2)</f>
        <v>0</v>
      </c>
      <c r="J18" s="45">
        <f>ROUND(SUMIF(Определители!I6:I25,"=1",'Базовые цены с учетом расхода'!I6:I25),8)</f>
        <v>0</v>
      </c>
      <c r="K18" s="45">
        <f>ROUND(SUMIF(Определители!I6:I25,"=1",'Базовые цены с учетом расхода'!K6:K25),8)</f>
        <v>0</v>
      </c>
      <c r="L18" s="38">
        <f>ROUND(SUMIF(Определители!I6:I25,"=1",'Базовые цены с учетом расхода'!F6:F25),2)</f>
        <v>0</v>
      </c>
      <c r="N18" s="41" t="s">
        <v>535</v>
      </c>
    </row>
    <row r="19" spans="1:14" ht="10.5">
      <c r="A19" s="33">
        <v>13</v>
      </c>
      <c r="B19" s="5" t="s">
        <v>238</v>
      </c>
      <c r="C19" s="41" t="s">
        <v>525</v>
      </c>
      <c r="D19" s="44">
        <v>0</v>
      </c>
      <c r="F19" s="38"/>
      <c r="G19" s="38"/>
      <c r="H19" s="38"/>
      <c r="I19" s="38"/>
      <c r="J19" s="45"/>
      <c r="K19" s="45"/>
      <c r="L19" s="38"/>
      <c r="N19" s="41" t="s">
        <v>536</v>
      </c>
    </row>
    <row r="20" spans="1:14" ht="10.5">
      <c r="A20" s="33">
        <v>14</v>
      </c>
      <c r="B20" s="5" t="s">
        <v>239</v>
      </c>
      <c r="C20" s="41" t="s">
        <v>525</v>
      </c>
      <c r="D20" s="44">
        <v>0</v>
      </c>
      <c r="F20" s="38"/>
      <c r="G20" s="38">
        <f>ROUND(SUMIF(Определители!I6:I25,"=1",'Базовые цены с учетом расхода'!U6:U25),2)</f>
        <v>0</v>
      </c>
      <c r="H20" s="38"/>
      <c r="I20" s="38"/>
      <c r="J20" s="45"/>
      <c r="K20" s="45"/>
      <c r="L20" s="38"/>
      <c r="N20" s="41" t="s">
        <v>537</v>
      </c>
    </row>
    <row r="21" spans="1:14" ht="10.5">
      <c r="A21" s="33">
        <v>15</v>
      </c>
      <c r="B21" s="5" t="s">
        <v>240</v>
      </c>
      <c r="C21" s="41" t="s">
        <v>525</v>
      </c>
      <c r="D21" s="44">
        <v>0</v>
      </c>
      <c r="F21" s="38">
        <f>ROUND(SUMIF(Определители!I6:I25,"=1",'Базовые цены с учетом расхода'!V6:V25),2)</f>
        <v>0</v>
      </c>
      <c r="G21" s="38"/>
      <c r="H21" s="38"/>
      <c r="I21" s="38"/>
      <c r="J21" s="45"/>
      <c r="K21" s="45"/>
      <c r="L21" s="38"/>
      <c r="N21" s="41" t="s">
        <v>538</v>
      </c>
    </row>
    <row r="22" spans="1:14" ht="10.5">
      <c r="A22" s="33">
        <v>16</v>
      </c>
      <c r="B22" s="5" t="s">
        <v>241</v>
      </c>
      <c r="C22" s="41" t="s">
        <v>525</v>
      </c>
      <c r="D22" s="44">
        <v>0</v>
      </c>
      <c r="F22" s="38">
        <f>ROUND(СУММЕСЛИ2(Определители!I6:I25,"1",Определители!G6:G25,"1",'Базовые цены с учетом расхода'!B6:B25),2)</f>
        <v>0</v>
      </c>
      <c r="G22" s="38"/>
      <c r="H22" s="38"/>
      <c r="I22" s="38"/>
      <c r="J22" s="45"/>
      <c r="K22" s="45"/>
      <c r="L22" s="38"/>
      <c r="N22" s="41" t="s">
        <v>539</v>
      </c>
    </row>
    <row r="23" spans="1:14" ht="10.5">
      <c r="A23" s="33">
        <v>17</v>
      </c>
      <c r="B23" s="5" t="s">
        <v>242</v>
      </c>
      <c r="C23" s="41" t="s">
        <v>525</v>
      </c>
      <c r="D23" s="44">
        <v>0</v>
      </c>
      <c r="F23" s="38">
        <f>ROUND(SUMIF(Определители!I6:I25,"=1",'Базовые цены с учетом расхода'!H6:H25),2)</f>
        <v>0</v>
      </c>
      <c r="G23" s="38"/>
      <c r="H23" s="38"/>
      <c r="I23" s="38"/>
      <c r="J23" s="45"/>
      <c r="K23" s="45"/>
      <c r="L23" s="38"/>
      <c r="N23" s="41" t="s">
        <v>540</v>
      </c>
    </row>
    <row r="24" spans="1:14" ht="10.5">
      <c r="A24" s="33">
        <v>18</v>
      </c>
      <c r="B24" s="5" t="s">
        <v>243</v>
      </c>
      <c r="C24" s="41" t="s">
        <v>525</v>
      </c>
      <c r="D24" s="44">
        <v>0</v>
      </c>
      <c r="F24" s="38">
        <f>ROUND(SUMIF(Определители!I6:I25,"=1",'Базовые цены с учетом расхода'!N6:N25),2)</f>
        <v>0</v>
      </c>
      <c r="G24" s="38"/>
      <c r="H24" s="38"/>
      <c r="I24" s="38"/>
      <c r="J24" s="45"/>
      <c r="K24" s="45"/>
      <c r="L24" s="38"/>
      <c r="N24" s="41" t="s">
        <v>541</v>
      </c>
    </row>
    <row r="25" spans="1:14" ht="10.5">
      <c r="A25" s="33">
        <v>19</v>
      </c>
      <c r="B25" s="5" t="s">
        <v>244</v>
      </c>
      <c r="C25" s="41" t="s">
        <v>542</v>
      </c>
      <c r="D25" s="44">
        <v>0.94</v>
      </c>
      <c r="F25" s="38">
        <f>ROUND((F24)*D25,2)</f>
        <v>0</v>
      </c>
      <c r="G25" s="38"/>
      <c r="H25" s="38"/>
      <c r="I25" s="38"/>
      <c r="J25" s="45"/>
      <c r="K25" s="45"/>
      <c r="L25" s="38"/>
      <c r="N25" s="41" t="s">
        <v>543</v>
      </c>
    </row>
    <row r="26" spans="1:14" ht="10.5">
      <c r="A26" s="33">
        <v>20</v>
      </c>
      <c r="B26" s="5" t="s">
        <v>245</v>
      </c>
      <c r="C26" s="41" t="s">
        <v>525</v>
      </c>
      <c r="D26" s="44">
        <v>0</v>
      </c>
      <c r="F26" s="38">
        <f>ROUND(SUMIF(Определители!I6:I25,"=1",'Базовые цены с учетом расхода'!O6:O25),2)</f>
        <v>0</v>
      </c>
      <c r="G26" s="38"/>
      <c r="H26" s="38"/>
      <c r="I26" s="38"/>
      <c r="J26" s="45"/>
      <c r="K26" s="45"/>
      <c r="L26" s="38"/>
      <c r="N26" s="41" t="s">
        <v>544</v>
      </c>
    </row>
    <row r="27" spans="1:14" ht="10.5">
      <c r="A27" s="33">
        <v>21</v>
      </c>
      <c r="B27" s="5" t="s">
        <v>235</v>
      </c>
      <c r="C27" s="41" t="s">
        <v>525</v>
      </c>
      <c r="D27" s="44">
        <v>0</v>
      </c>
      <c r="F27" s="38">
        <f>ROUND(СУММПРОИЗВЕСЛИ(1,Определители!I6:I25," ",'Базовые цены с учетом расхода'!M6:M25,Начисления!I6:I25,0),2)</f>
        <v>0</v>
      </c>
      <c r="G27" s="38"/>
      <c r="H27" s="38"/>
      <c r="I27" s="38"/>
      <c r="J27" s="45"/>
      <c r="K27" s="45"/>
      <c r="L27" s="38"/>
      <c r="N27" s="41" t="s">
        <v>545</v>
      </c>
    </row>
    <row r="28" spans="1:14" ht="10.5">
      <c r="A28" s="33">
        <v>22</v>
      </c>
      <c r="B28" s="5" t="s">
        <v>246</v>
      </c>
      <c r="C28" s="41" t="s">
        <v>532</v>
      </c>
      <c r="D28" s="44">
        <v>0</v>
      </c>
      <c r="F28" s="38">
        <f>ROUND((F18+F24+F26),2)</f>
        <v>0</v>
      </c>
      <c r="G28" s="38"/>
      <c r="H28" s="38"/>
      <c r="I28" s="38"/>
      <c r="J28" s="45"/>
      <c r="K28" s="45"/>
      <c r="L28" s="38"/>
      <c r="N28" s="41" t="s">
        <v>546</v>
      </c>
    </row>
    <row r="29" spans="1:14" ht="10.5">
      <c r="A29" s="33">
        <v>23</v>
      </c>
      <c r="B29" s="5" t="s">
        <v>247</v>
      </c>
      <c r="C29" s="41" t="s">
        <v>38</v>
      </c>
      <c r="D29" s="44">
        <v>0</v>
      </c>
      <c r="F29" s="38">
        <f>ROUND((F18+F25+F26),2)</f>
        <v>0</v>
      </c>
      <c r="G29" s="38"/>
      <c r="H29" s="38"/>
      <c r="I29" s="38"/>
      <c r="J29" s="45"/>
      <c r="K29" s="45"/>
      <c r="L29" s="38"/>
      <c r="N29" s="41" t="s">
        <v>547</v>
      </c>
    </row>
    <row r="30" spans="1:14" ht="10.5">
      <c r="A30" s="33">
        <v>24</v>
      </c>
      <c r="B30" s="5" t="s">
        <v>248</v>
      </c>
      <c r="C30" s="41" t="s">
        <v>525</v>
      </c>
      <c r="D30" s="44">
        <v>0</v>
      </c>
      <c r="F30" s="38">
        <f>ROUND(SUMIF(Определители!I6:I25,"=2",'Базовые цены с учетом расхода'!B6:B25),2)</f>
        <v>0</v>
      </c>
      <c r="G30" s="38">
        <f>ROUND(SUMIF(Определители!I6:I25,"=2",'Базовые цены с учетом расхода'!C6:C25),2)</f>
        <v>0</v>
      </c>
      <c r="H30" s="38">
        <f>ROUND(SUMIF(Определители!I6:I25,"=2",'Базовые цены с учетом расхода'!D6:D25),2)</f>
        <v>0</v>
      </c>
      <c r="I30" s="38">
        <f>ROUND(SUMIF(Определители!I6:I25,"=2",'Базовые цены с учетом расхода'!E6:E25),2)</f>
        <v>0</v>
      </c>
      <c r="J30" s="45">
        <f>ROUND(SUMIF(Определители!I6:I25,"=2",'Базовые цены с учетом расхода'!I6:I25),8)</f>
        <v>489.4669</v>
      </c>
      <c r="K30" s="45">
        <f>ROUND(SUMIF(Определители!I6:I25,"=2",'Базовые цены с учетом расхода'!K6:K25),8)</f>
        <v>124.774428</v>
      </c>
      <c r="L30" s="38">
        <f>ROUND(SUMIF(Определители!I6:I25,"=2",'Базовые цены с учетом расхода'!F6:F25),2)</f>
        <v>0</v>
      </c>
      <c r="N30" s="41" t="s">
        <v>548</v>
      </c>
    </row>
    <row r="31" spans="1:14" ht="10.5">
      <c r="A31" s="33">
        <v>25</v>
      </c>
      <c r="B31" s="5" t="s">
        <v>238</v>
      </c>
      <c r="C31" s="41" t="s">
        <v>525</v>
      </c>
      <c r="D31" s="44">
        <v>0</v>
      </c>
      <c r="F31" s="38"/>
      <c r="G31" s="38"/>
      <c r="H31" s="38"/>
      <c r="I31" s="38"/>
      <c r="J31" s="45"/>
      <c r="K31" s="45"/>
      <c r="L31" s="38"/>
      <c r="N31" s="41" t="s">
        <v>549</v>
      </c>
    </row>
    <row r="32" spans="1:14" ht="10.5">
      <c r="A32" s="33">
        <v>26</v>
      </c>
      <c r="B32" s="5" t="s">
        <v>249</v>
      </c>
      <c r="C32" s="41" t="s">
        <v>525</v>
      </c>
      <c r="D32" s="44">
        <v>0</v>
      </c>
      <c r="F32" s="38">
        <f>ROUND(СУММЕСЛИ2(Определители!I6:I25,"2",Определители!G6:G25,"1",'Базовые цены с учетом расхода'!B6:B25),2)</f>
        <v>0</v>
      </c>
      <c r="G32" s="38"/>
      <c r="H32" s="38"/>
      <c r="I32" s="38"/>
      <c r="J32" s="45"/>
      <c r="K32" s="45"/>
      <c r="L32" s="38"/>
      <c r="N32" s="41" t="s">
        <v>550</v>
      </c>
    </row>
    <row r="33" spans="1:14" ht="10.5">
      <c r="A33" s="33">
        <v>27</v>
      </c>
      <c r="B33" s="5" t="s">
        <v>242</v>
      </c>
      <c r="C33" s="41" t="s">
        <v>525</v>
      </c>
      <c r="D33" s="44">
        <v>0</v>
      </c>
      <c r="F33" s="38">
        <f>ROUND(SUMIF(Определители!I6:I25,"=2",'Базовые цены с учетом расхода'!H6:H25),2)</f>
        <v>0</v>
      </c>
      <c r="G33" s="38"/>
      <c r="H33" s="38"/>
      <c r="I33" s="38"/>
      <c r="J33" s="45"/>
      <c r="K33" s="45"/>
      <c r="L33" s="38"/>
      <c r="N33" s="41" t="s">
        <v>551</v>
      </c>
    </row>
    <row r="34" spans="1:14" ht="10.5">
      <c r="A34" s="33">
        <v>28</v>
      </c>
      <c r="B34" s="5" t="s">
        <v>243</v>
      </c>
      <c r="C34" s="41" t="s">
        <v>525</v>
      </c>
      <c r="D34" s="44">
        <v>0</v>
      </c>
      <c r="F34" s="38">
        <f>ROUND(SUMIF(Определители!I6:I25,"=2",'Базовые цены с учетом расхода'!N6:N25),2)</f>
        <v>0</v>
      </c>
      <c r="G34" s="38"/>
      <c r="H34" s="38"/>
      <c r="I34" s="38"/>
      <c r="J34" s="45"/>
      <c r="K34" s="45"/>
      <c r="L34" s="38"/>
      <c r="N34" s="41" t="s">
        <v>552</v>
      </c>
    </row>
    <row r="35" spans="1:14" ht="10.5">
      <c r="A35" s="33">
        <v>29</v>
      </c>
      <c r="B35" s="5" t="s">
        <v>244</v>
      </c>
      <c r="C35" s="41" t="s">
        <v>542</v>
      </c>
      <c r="D35" s="44">
        <v>0.94</v>
      </c>
      <c r="F35" s="38">
        <f>ROUND((F34)*D35,2)</f>
        <v>0</v>
      </c>
      <c r="G35" s="38"/>
      <c r="H35" s="38"/>
      <c r="I35" s="38"/>
      <c r="J35" s="45"/>
      <c r="K35" s="45"/>
      <c r="L35" s="38"/>
      <c r="N35" s="41" t="s">
        <v>553</v>
      </c>
    </row>
    <row r="36" spans="1:14" ht="10.5">
      <c r="A36" s="33">
        <v>30</v>
      </c>
      <c r="B36" s="5" t="s">
        <v>245</v>
      </c>
      <c r="C36" s="41" t="s">
        <v>525</v>
      </c>
      <c r="D36" s="44">
        <v>0</v>
      </c>
      <c r="F36" s="38">
        <f>ROUND(SUMIF(Определители!I6:I25,"=2",'Базовые цены с учетом расхода'!O6:O25),2)</f>
        <v>0</v>
      </c>
      <c r="G36" s="38"/>
      <c r="H36" s="38"/>
      <c r="I36" s="38"/>
      <c r="J36" s="45"/>
      <c r="K36" s="45"/>
      <c r="L36" s="38"/>
      <c r="N36" s="41" t="s">
        <v>554</v>
      </c>
    </row>
    <row r="37" spans="1:14" ht="10.5">
      <c r="A37" s="33">
        <v>31</v>
      </c>
      <c r="B37" s="5" t="s">
        <v>252</v>
      </c>
      <c r="C37" s="41" t="s">
        <v>532</v>
      </c>
      <c r="D37" s="44">
        <v>0</v>
      </c>
      <c r="F37" s="38">
        <f>ROUND((F30+F34+F36),2)</f>
        <v>0</v>
      </c>
      <c r="G37" s="38"/>
      <c r="H37" s="38"/>
      <c r="I37" s="38"/>
      <c r="J37" s="45"/>
      <c r="K37" s="45"/>
      <c r="L37" s="38"/>
      <c r="N37" s="41" t="s">
        <v>555</v>
      </c>
    </row>
    <row r="38" spans="1:14" ht="10.5">
      <c r="A38" s="33">
        <v>32</v>
      </c>
      <c r="B38" s="5" t="s">
        <v>253</v>
      </c>
      <c r="C38" s="41" t="s">
        <v>38</v>
      </c>
      <c r="D38" s="44">
        <v>0</v>
      </c>
      <c r="F38" s="38">
        <f>ROUND((F30+F35+F36),2)</f>
        <v>0</v>
      </c>
      <c r="G38" s="38"/>
      <c r="H38" s="38"/>
      <c r="I38" s="38"/>
      <c r="J38" s="45"/>
      <c r="K38" s="45"/>
      <c r="L38" s="38"/>
      <c r="N38" s="41" t="s">
        <v>556</v>
      </c>
    </row>
    <row r="39" spans="1:14" ht="10.5">
      <c r="A39" s="33">
        <v>33</v>
      </c>
      <c r="B39" s="5" t="s">
        <v>254</v>
      </c>
      <c r="C39" s="41" t="s">
        <v>525</v>
      </c>
      <c r="D39" s="44">
        <v>0</v>
      </c>
      <c r="F39" s="38">
        <f>ROUND(SUMIF(Определители!I6:I25,"=3",'Базовые цены с учетом расхода'!B6:B25),2)</f>
        <v>0</v>
      </c>
      <c r="G39" s="38">
        <f>ROUND(SUMIF(Определители!I6:I25,"=3",'Базовые цены с учетом расхода'!C6:C25),2)</f>
        <v>0</v>
      </c>
      <c r="H39" s="38">
        <f>ROUND(SUMIF(Определители!I6:I25,"=3",'Базовые цены с учетом расхода'!D6:D25),2)</f>
        <v>0</v>
      </c>
      <c r="I39" s="38">
        <f>ROUND(SUMIF(Определители!I6:I25,"=3",'Базовые цены с учетом расхода'!E6:E25),2)</f>
        <v>0</v>
      </c>
      <c r="J39" s="45">
        <f>ROUND(SUMIF(Определители!I6:I25,"=3",'Базовые цены с учетом расхода'!I6:I25),8)</f>
        <v>0</v>
      </c>
      <c r="K39" s="45">
        <f>ROUND(SUMIF(Определители!I6:I25,"=3",'Базовые цены с учетом расхода'!K6:K25),8)</f>
        <v>0</v>
      </c>
      <c r="L39" s="38">
        <f>ROUND(SUMIF(Определители!I6:I25,"=3",'Базовые цены с учетом расхода'!F6:F25),2)</f>
        <v>0</v>
      </c>
      <c r="N39" s="41" t="s">
        <v>557</v>
      </c>
    </row>
    <row r="40" spans="1:14" ht="10.5">
      <c r="A40" s="33">
        <v>34</v>
      </c>
      <c r="B40" s="5" t="s">
        <v>242</v>
      </c>
      <c r="C40" s="41" t="s">
        <v>525</v>
      </c>
      <c r="D40" s="44">
        <v>0</v>
      </c>
      <c r="F40" s="38">
        <f>ROUND(SUMIF(Определители!I6:I25,"=3",'Базовые цены с учетом расхода'!H6:H25),2)</f>
        <v>0</v>
      </c>
      <c r="G40" s="38"/>
      <c r="H40" s="38"/>
      <c r="I40" s="38"/>
      <c r="J40" s="45"/>
      <c r="K40" s="45"/>
      <c r="L40" s="38"/>
      <c r="N40" s="41" t="s">
        <v>558</v>
      </c>
    </row>
    <row r="41" spans="1:14" ht="10.5">
      <c r="A41" s="33">
        <v>35</v>
      </c>
      <c r="B41" s="5" t="s">
        <v>243</v>
      </c>
      <c r="C41" s="41" t="s">
        <v>525</v>
      </c>
      <c r="D41" s="44">
        <v>0</v>
      </c>
      <c r="F41" s="38">
        <f>ROUND(SUMIF(Определители!I6:I25,"=3",'Базовые цены с учетом расхода'!N6:N25),2)</f>
        <v>0</v>
      </c>
      <c r="G41" s="38"/>
      <c r="H41" s="38"/>
      <c r="I41" s="38"/>
      <c r="J41" s="45"/>
      <c r="K41" s="45"/>
      <c r="L41" s="38"/>
      <c r="N41" s="41" t="s">
        <v>559</v>
      </c>
    </row>
    <row r="42" spans="1:14" ht="10.5">
      <c r="A42" s="33">
        <v>36</v>
      </c>
      <c r="B42" s="5" t="s">
        <v>244</v>
      </c>
      <c r="C42" s="41" t="s">
        <v>542</v>
      </c>
      <c r="D42" s="44">
        <v>0.94</v>
      </c>
      <c r="F42" s="38">
        <f>ROUND((F41)*D42,2)</f>
        <v>0</v>
      </c>
      <c r="G42" s="38"/>
      <c r="H42" s="38"/>
      <c r="I42" s="38"/>
      <c r="J42" s="45"/>
      <c r="K42" s="45"/>
      <c r="L42" s="38"/>
      <c r="N42" s="41" t="s">
        <v>560</v>
      </c>
    </row>
    <row r="43" spans="1:14" ht="10.5">
      <c r="A43" s="33">
        <v>37</v>
      </c>
      <c r="B43" s="5" t="s">
        <v>245</v>
      </c>
      <c r="C43" s="41" t="s">
        <v>525</v>
      </c>
      <c r="D43" s="44">
        <v>0</v>
      </c>
      <c r="F43" s="38">
        <f>ROUND(SUMIF(Определители!I6:I25,"=3",'Базовые цены с учетом расхода'!O6:O25),2)</f>
        <v>0</v>
      </c>
      <c r="G43" s="38"/>
      <c r="H43" s="38"/>
      <c r="I43" s="38"/>
      <c r="J43" s="45"/>
      <c r="K43" s="45"/>
      <c r="L43" s="38"/>
      <c r="N43" s="41" t="s">
        <v>561</v>
      </c>
    </row>
    <row r="44" spans="1:14" ht="10.5">
      <c r="A44" s="33">
        <v>38</v>
      </c>
      <c r="B44" s="5" t="s">
        <v>255</v>
      </c>
      <c r="C44" s="41" t="s">
        <v>532</v>
      </c>
      <c r="D44" s="44">
        <v>0</v>
      </c>
      <c r="F44" s="38">
        <f>ROUND((F39+F41+F43),2)</f>
        <v>0</v>
      </c>
      <c r="G44" s="38"/>
      <c r="H44" s="38"/>
      <c r="I44" s="38"/>
      <c r="J44" s="45"/>
      <c r="K44" s="45"/>
      <c r="L44" s="38"/>
      <c r="N44" s="41" t="s">
        <v>562</v>
      </c>
    </row>
    <row r="45" spans="1:14" ht="10.5">
      <c r="A45" s="33">
        <v>39</v>
      </c>
      <c r="B45" s="5" t="s">
        <v>256</v>
      </c>
      <c r="C45" s="41" t="s">
        <v>38</v>
      </c>
      <c r="D45" s="44">
        <v>0</v>
      </c>
      <c r="F45" s="38">
        <f>ROUND((F39+F42+F43),2)</f>
        <v>0</v>
      </c>
      <c r="G45" s="38"/>
      <c r="H45" s="38"/>
      <c r="I45" s="38"/>
      <c r="J45" s="45"/>
      <c r="K45" s="45"/>
      <c r="L45" s="38"/>
      <c r="N45" s="41" t="s">
        <v>563</v>
      </c>
    </row>
    <row r="46" spans="1:14" ht="10.5">
      <c r="A46" s="33">
        <v>40</v>
      </c>
      <c r="B46" s="5" t="s">
        <v>257</v>
      </c>
      <c r="C46" s="41" t="s">
        <v>525</v>
      </c>
      <c r="D46" s="44">
        <v>0</v>
      </c>
      <c r="F46" s="38">
        <f>ROUND(SUMIF(Определители!I6:I25,"=4",'Базовые цены с учетом расхода'!B6:B25),2)</f>
        <v>0</v>
      </c>
      <c r="G46" s="38">
        <f>ROUND(SUMIF(Определители!I6:I25,"=4",'Базовые цены с учетом расхода'!C6:C25),2)</f>
        <v>0</v>
      </c>
      <c r="H46" s="38">
        <f>ROUND(SUMIF(Определители!I6:I25,"=4",'Базовые цены с учетом расхода'!D6:D25),2)</f>
        <v>0</v>
      </c>
      <c r="I46" s="38">
        <f>ROUND(SUMIF(Определители!I6:I25,"=4",'Базовые цены с учетом расхода'!E6:E25),2)</f>
        <v>0</v>
      </c>
      <c r="J46" s="45">
        <f>ROUND(SUMIF(Определители!I6:I25,"=4",'Базовые цены с учетом расхода'!I6:I25),8)</f>
        <v>14.789</v>
      </c>
      <c r="K46" s="45">
        <f>ROUND(SUMIF(Определители!I6:I25,"=4",'Базовые цены с учетом расхода'!K6:K25),8)</f>
        <v>0.046</v>
      </c>
      <c r="L46" s="38">
        <f>ROUND(SUMIF(Определители!I6:I25,"=4",'Базовые цены с учетом расхода'!F6:F25),2)</f>
        <v>0</v>
      </c>
      <c r="N46" s="41" t="s">
        <v>564</v>
      </c>
    </row>
    <row r="47" spans="1:14" ht="10.5">
      <c r="A47" s="33">
        <v>41</v>
      </c>
      <c r="B47" s="5" t="s">
        <v>238</v>
      </c>
      <c r="C47" s="41" t="s">
        <v>525</v>
      </c>
      <c r="D47" s="44">
        <v>0</v>
      </c>
      <c r="F47" s="38"/>
      <c r="G47" s="38"/>
      <c r="H47" s="38"/>
      <c r="I47" s="38"/>
      <c r="J47" s="45"/>
      <c r="K47" s="45"/>
      <c r="L47" s="38"/>
      <c r="N47" s="41" t="s">
        <v>565</v>
      </c>
    </row>
    <row r="48" spans="1:14" ht="10.5">
      <c r="A48" s="33">
        <v>42</v>
      </c>
      <c r="B48" s="5" t="s">
        <v>258</v>
      </c>
      <c r="C48" s="41" t="s">
        <v>525</v>
      </c>
      <c r="D48" s="44">
        <v>0</v>
      </c>
      <c r="F48" s="38"/>
      <c r="G48" s="38"/>
      <c r="H48" s="38"/>
      <c r="I48" s="38"/>
      <c r="J48" s="45"/>
      <c r="K48" s="45"/>
      <c r="L48" s="38"/>
      <c r="N48" s="41" t="s">
        <v>566</v>
      </c>
    </row>
    <row r="49" spans="1:14" ht="10.5">
      <c r="A49" s="33">
        <v>43</v>
      </c>
      <c r="B49" s="5" t="s">
        <v>242</v>
      </c>
      <c r="C49" s="41" t="s">
        <v>525</v>
      </c>
      <c r="D49" s="44">
        <v>0</v>
      </c>
      <c r="F49" s="38">
        <f>ROUND(SUMIF(Определители!I6:I25,"=4",'Базовые цены с учетом расхода'!H6:H25),2)</f>
        <v>0</v>
      </c>
      <c r="G49" s="38"/>
      <c r="H49" s="38"/>
      <c r="I49" s="38"/>
      <c r="J49" s="45"/>
      <c r="K49" s="45"/>
      <c r="L49" s="38"/>
      <c r="N49" s="41" t="s">
        <v>567</v>
      </c>
    </row>
    <row r="50" spans="1:14" ht="10.5">
      <c r="A50" s="33">
        <v>44</v>
      </c>
      <c r="B50" s="5" t="s">
        <v>243</v>
      </c>
      <c r="C50" s="41" t="s">
        <v>525</v>
      </c>
      <c r="D50" s="44">
        <v>0</v>
      </c>
      <c r="F50" s="38">
        <f>ROUND(SUMIF(Определители!I6:I25,"=4",'Базовые цены с учетом расхода'!N6:N25),2)</f>
        <v>0</v>
      </c>
      <c r="G50" s="38"/>
      <c r="H50" s="38"/>
      <c r="I50" s="38"/>
      <c r="J50" s="45"/>
      <c r="K50" s="45"/>
      <c r="L50" s="38"/>
      <c r="N50" s="41" t="s">
        <v>568</v>
      </c>
    </row>
    <row r="51" spans="1:14" ht="10.5">
      <c r="A51" s="33">
        <v>45</v>
      </c>
      <c r="B51" s="5" t="s">
        <v>244</v>
      </c>
      <c r="C51" s="41" t="s">
        <v>542</v>
      </c>
      <c r="D51" s="44">
        <v>0.94</v>
      </c>
      <c r="F51" s="38">
        <f>ROUND((F50)*D51,2)</f>
        <v>0</v>
      </c>
      <c r="G51" s="38"/>
      <c r="H51" s="38"/>
      <c r="I51" s="38"/>
      <c r="J51" s="45"/>
      <c r="K51" s="45"/>
      <c r="L51" s="38"/>
      <c r="N51" s="41" t="s">
        <v>569</v>
      </c>
    </row>
    <row r="52" spans="1:14" ht="10.5">
      <c r="A52" s="33">
        <v>46</v>
      </c>
      <c r="B52" s="5" t="s">
        <v>245</v>
      </c>
      <c r="C52" s="41" t="s">
        <v>525</v>
      </c>
      <c r="D52" s="44">
        <v>0</v>
      </c>
      <c r="F52" s="38">
        <f>ROUND(SUMIF(Определители!I6:I25,"=4",'Базовые цены с учетом расхода'!O6:O25),2)</f>
        <v>0</v>
      </c>
      <c r="G52" s="38"/>
      <c r="H52" s="38"/>
      <c r="I52" s="38"/>
      <c r="J52" s="45"/>
      <c r="K52" s="45"/>
      <c r="L52" s="38"/>
      <c r="N52" s="41" t="s">
        <v>570</v>
      </c>
    </row>
    <row r="53" spans="1:14" ht="10.5">
      <c r="A53" s="33">
        <v>47</v>
      </c>
      <c r="B53" s="5" t="s">
        <v>235</v>
      </c>
      <c r="C53" s="41" t="s">
        <v>525</v>
      </c>
      <c r="D53" s="44">
        <v>0</v>
      </c>
      <c r="F53" s="38">
        <f>ROUND(СУММПРОИЗВЕСЛИ(1,Определители!I6:I25," ",'Базовые цены с учетом расхода'!M6:M25,Начисления!I6:I25,0),2)</f>
        <v>0</v>
      </c>
      <c r="G53" s="38"/>
      <c r="H53" s="38"/>
      <c r="I53" s="38"/>
      <c r="J53" s="45"/>
      <c r="K53" s="45"/>
      <c r="L53" s="38"/>
      <c r="N53" s="41" t="s">
        <v>571</v>
      </c>
    </row>
    <row r="54" spans="1:14" ht="10.5">
      <c r="A54" s="33">
        <v>48</v>
      </c>
      <c r="B54" s="5" t="s">
        <v>261</v>
      </c>
      <c r="C54" s="41" t="s">
        <v>532</v>
      </c>
      <c r="D54" s="44">
        <v>0</v>
      </c>
      <c r="F54" s="38">
        <f>ROUND((F46+F50+F52),2)</f>
        <v>0</v>
      </c>
      <c r="G54" s="38"/>
      <c r="H54" s="38"/>
      <c r="I54" s="38"/>
      <c r="J54" s="45"/>
      <c r="K54" s="45"/>
      <c r="L54" s="38"/>
      <c r="N54" s="41" t="s">
        <v>572</v>
      </c>
    </row>
    <row r="55" spans="1:14" ht="10.5">
      <c r="A55" s="33">
        <v>49</v>
      </c>
      <c r="B55" s="5" t="s">
        <v>262</v>
      </c>
      <c r="C55" s="41" t="s">
        <v>38</v>
      </c>
      <c r="D55" s="44">
        <v>0</v>
      </c>
      <c r="F55" s="38">
        <f>ROUND((F46+F51+F52),2)</f>
        <v>0</v>
      </c>
      <c r="G55" s="38"/>
      <c r="H55" s="38"/>
      <c r="I55" s="38"/>
      <c r="J55" s="45"/>
      <c r="K55" s="45"/>
      <c r="L55" s="38"/>
      <c r="N55" s="41" t="s">
        <v>573</v>
      </c>
    </row>
    <row r="56" spans="1:14" ht="10.5">
      <c r="A56" s="33">
        <v>50</v>
      </c>
      <c r="B56" s="5" t="s">
        <v>263</v>
      </c>
      <c r="C56" s="41" t="s">
        <v>525</v>
      </c>
      <c r="D56" s="44">
        <v>0</v>
      </c>
      <c r="F56" s="38">
        <f>ROUND(SUMIF(Определители!I6:I25,"=5",'Базовые цены с учетом расхода'!B6:B25),2)</f>
        <v>0</v>
      </c>
      <c r="G56" s="38">
        <f>ROUND(SUMIF(Определители!I6:I25,"=5",'Базовые цены с учетом расхода'!C6:C25),2)</f>
        <v>0</v>
      </c>
      <c r="H56" s="38">
        <f>ROUND(SUMIF(Определители!I6:I25,"=5",'Базовые цены с учетом расхода'!D6:D25),2)</f>
        <v>0</v>
      </c>
      <c r="I56" s="38">
        <f>ROUND(SUMIF(Определители!I6:I25,"=5",'Базовые цены с учетом расхода'!E6:E25),2)</f>
        <v>0</v>
      </c>
      <c r="J56" s="45">
        <f>ROUND(SUMIF(Определители!I6:I25,"=5",'Базовые цены с учетом расхода'!I6:I25),8)</f>
        <v>0</v>
      </c>
      <c r="K56" s="45">
        <f>ROUND(SUMIF(Определители!I6:I25,"=5",'Базовые цены с учетом расхода'!K6:K25),8)</f>
        <v>0</v>
      </c>
      <c r="L56" s="38">
        <f>ROUND(SUMIF(Определители!I6:I25,"=5",'Базовые цены с учетом расхода'!F6:F25),2)</f>
        <v>0</v>
      </c>
      <c r="N56" s="41" t="s">
        <v>574</v>
      </c>
    </row>
    <row r="57" spans="1:14" ht="10.5">
      <c r="A57" s="33">
        <v>51</v>
      </c>
      <c r="B57" s="5" t="s">
        <v>242</v>
      </c>
      <c r="C57" s="41" t="s">
        <v>525</v>
      </c>
      <c r="D57" s="44">
        <v>0</v>
      </c>
      <c r="F57" s="38">
        <f>ROUND(SUMIF(Определители!I6:I25,"=5",'Базовые цены с учетом расхода'!H6:H25),2)</f>
        <v>0</v>
      </c>
      <c r="G57" s="38"/>
      <c r="H57" s="38"/>
      <c r="I57" s="38"/>
      <c r="J57" s="45"/>
      <c r="K57" s="45"/>
      <c r="L57" s="38"/>
      <c r="N57" s="41" t="s">
        <v>575</v>
      </c>
    </row>
    <row r="58" spans="1:14" ht="10.5">
      <c r="A58" s="33">
        <v>52</v>
      </c>
      <c r="B58" s="5" t="s">
        <v>243</v>
      </c>
      <c r="C58" s="41" t="s">
        <v>525</v>
      </c>
      <c r="D58" s="44">
        <v>0</v>
      </c>
      <c r="F58" s="38">
        <f>ROUND(SUMIF(Определители!I6:I25,"=5",'Базовые цены с учетом расхода'!N6:N25),2)</f>
        <v>0</v>
      </c>
      <c r="G58" s="38"/>
      <c r="H58" s="38"/>
      <c r="I58" s="38"/>
      <c r="J58" s="45"/>
      <c r="K58" s="45"/>
      <c r="L58" s="38"/>
      <c r="N58" s="41" t="s">
        <v>576</v>
      </c>
    </row>
    <row r="59" spans="1:14" ht="10.5">
      <c r="A59" s="33">
        <v>53</v>
      </c>
      <c r="B59" s="5" t="s">
        <v>244</v>
      </c>
      <c r="C59" s="41" t="s">
        <v>542</v>
      </c>
      <c r="D59" s="44">
        <v>0.94</v>
      </c>
      <c r="F59" s="38">
        <f>ROUND((F58)*D59,2)</f>
        <v>0</v>
      </c>
      <c r="G59" s="38"/>
      <c r="H59" s="38"/>
      <c r="I59" s="38"/>
      <c r="J59" s="45"/>
      <c r="K59" s="45"/>
      <c r="L59" s="38"/>
      <c r="N59" s="41" t="s">
        <v>577</v>
      </c>
    </row>
    <row r="60" spans="1:14" ht="10.5">
      <c r="A60" s="33">
        <v>54</v>
      </c>
      <c r="B60" s="5" t="s">
        <v>245</v>
      </c>
      <c r="C60" s="41" t="s">
        <v>525</v>
      </c>
      <c r="D60" s="44">
        <v>0</v>
      </c>
      <c r="F60" s="38">
        <f>ROUND(SUMIF(Определители!I6:I25,"=5",'Базовые цены с учетом расхода'!O6:O25),2)</f>
        <v>0</v>
      </c>
      <c r="G60" s="38"/>
      <c r="H60" s="38"/>
      <c r="I60" s="38"/>
      <c r="J60" s="45"/>
      <c r="K60" s="45"/>
      <c r="L60" s="38"/>
      <c r="N60" s="41" t="s">
        <v>578</v>
      </c>
    </row>
    <row r="61" spans="1:14" ht="10.5">
      <c r="A61" s="33">
        <v>55</v>
      </c>
      <c r="B61" s="5" t="s">
        <v>264</v>
      </c>
      <c r="C61" s="41" t="s">
        <v>532</v>
      </c>
      <c r="D61" s="44">
        <v>0</v>
      </c>
      <c r="F61" s="38">
        <f>ROUND((F56+F58+F60),2)</f>
        <v>0</v>
      </c>
      <c r="G61" s="38"/>
      <c r="H61" s="38"/>
      <c r="I61" s="38"/>
      <c r="J61" s="45"/>
      <c r="K61" s="45"/>
      <c r="L61" s="38"/>
      <c r="N61" s="41" t="s">
        <v>579</v>
      </c>
    </row>
    <row r="62" spans="1:14" ht="10.5">
      <c r="A62" s="33">
        <v>56</v>
      </c>
      <c r="B62" s="5" t="s">
        <v>265</v>
      </c>
      <c r="C62" s="41" t="s">
        <v>38</v>
      </c>
      <c r="D62" s="44">
        <v>0</v>
      </c>
      <c r="F62" s="38">
        <f>ROUND((F56+F59+F60),2)</f>
        <v>0</v>
      </c>
      <c r="G62" s="38"/>
      <c r="H62" s="38"/>
      <c r="I62" s="38"/>
      <c r="J62" s="45"/>
      <c r="K62" s="45"/>
      <c r="L62" s="38"/>
      <c r="N62" s="41" t="s">
        <v>580</v>
      </c>
    </row>
    <row r="63" spans="1:14" ht="10.5">
      <c r="A63" s="33">
        <v>57</v>
      </c>
      <c r="B63" s="5" t="s">
        <v>266</v>
      </c>
      <c r="C63" s="41" t="s">
        <v>525</v>
      </c>
      <c r="D63" s="44">
        <v>0</v>
      </c>
      <c r="F63" s="38">
        <f>ROUND(SUMIF(Определители!I6:I25,"=6",'Базовые цены с учетом расхода'!B6:B25),2)</f>
        <v>0</v>
      </c>
      <c r="G63" s="38">
        <f>ROUND(SUMIF(Определители!I6:I25,"=6",'Базовые цены с учетом расхода'!C6:C25),2)</f>
        <v>0</v>
      </c>
      <c r="H63" s="38">
        <f>ROUND(SUMIF(Определители!I6:I25,"=6",'Базовые цены с учетом расхода'!D6:D25),2)</f>
        <v>0</v>
      </c>
      <c r="I63" s="38">
        <f>ROUND(SUMIF(Определители!I6:I25,"=6",'Базовые цены с учетом расхода'!E6:E25),2)</f>
        <v>0</v>
      </c>
      <c r="J63" s="45">
        <f>ROUND(SUMIF(Определители!I6:I25,"=6",'Базовые цены с учетом расхода'!I6:I25),8)</f>
        <v>0</v>
      </c>
      <c r="K63" s="45">
        <f>ROUND(SUMIF(Определители!I6:I25,"=6",'Базовые цены с учетом расхода'!K6:K25),8)</f>
        <v>0</v>
      </c>
      <c r="L63" s="38">
        <f>ROUND(SUMIF(Определители!I6:I25,"=6",'Базовые цены с учетом расхода'!F6:F25),2)</f>
        <v>0</v>
      </c>
      <c r="N63" s="41" t="s">
        <v>581</v>
      </c>
    </row>
    <row r="64" spans="1:14" ht="10.5">
      <c r="A64" s="33">
        <v>58</v>
      </c>
      <c r="B64" s="5" t="s">
        <v>242</v>
      </c>
      <c r="C64" s="41" t="s">
        <v>525</v>
      </c>
      <c r="D64" s="44">
        <v>0</v>
      </c>
      <c r="F64" s="38">
        <f>ROUND(SUMIF(Определители!I6:I25,"=6",'Базовые цены с учетом расхода'!H6:H25),2)</f>
        <v>0</v>
      </c>
      <c r="G64" s="38"/>
      <c r="H64" s="38"/>
      <c r="I64" s="38"/>
      <c r="J64" s="45"/>
      <c r="K64" s="45"/>
      <c r="L64" s="38"/>
      <c r="N64" s="41" t="s">
        <v>582</v>
      </c>
    </row>
    <row r="65" spans="1:14" ht="10.5">
      <c r="A65" s="33">
        <v>59</v>
      </c>
      <c r="B65" s="5" t="s">
        <v>243</v>
      </c>
      <c r="C65" s="41" t="s">
        <v>525</v>
      </c>
      <c r="D65" s="44">
        <v>0</v>
      </c>
      <c r="F65" s="38">
        <f>ROUND(SUMIF(Определители!I6:I25,"=6",'Базовые цены с учетом расхода'!N6:N25),2)</f>
        <v>0</v>
      </c>
      <c r="G65" s="38"/>
      <c r="H65" s="38"/>
      <c r="I65" s="38"/>
      <c r="J65" s="45"/>
      <c r="K65" s="45"/>
      <c r="L65" s="38"/>
      <c r="N65" s="41" t="s">
        <v>583</v>
      </c>
    </row>
    <row r="66" spans="1:14" ht="10.5">
      <c r="A66" s="33">
        <v>60</v>
      </c>
      <c r="B66" s="5" t="s">
        <v>244</v>
      </c>
      <c r="C66" s="41" t="s">
        <v>542</v>
      </c>
      <c r="D66" s="44">
        <v>0.94</v>
      </c>
      <c r="F66" s="38">
        <f>ROUND((F65)*D66,2)</f>
        <v>0</v>
      </c>
      <c r="G66" s="38"/>
      <c r="H66" s="38"/>
      <c r="I66" s="38"/>
      <c r="J66" s="45"/>
      <c r="K66" s="45"/>
      <c r="L66" s="38"/>
      <c r="N66" s="41" t="s">
        <v>584</v>
      </c>
    </row>
    <row r="67" spans="1:14" ht="10.5">
      <c r="A67" s="33">
        <v>61</v>
      </c>
      <c r="B67" s="5" t="s">
        <v>245</v>
      </c>
      <c r="C67" s="41" t="s">
        <v>525</v>
      </c>
      <c r="D67" s="44">
        <v>0</v>
      </c>
      <c r="F67" s="38">
        <f>ROUND(SUMIF(Определители!I6:I25,"=6",'Базовые цены с учетом расхода'!O6:O25),2)</f>
        <v>0</v>
      </c>
      <c r="G67" s="38"/>
      <c r="H67" s="38"/>
      <c r="I67" s="38"/>
      <c r="J67" s="45"/>
      <c r="K67" s="45"/>
      <c r="L67" s="38"/>
      <c r="N67" s="41" t="s">
        <v>585</v>
      </c>
    </row>
    <row r="68" spans="1:14" ht="10.5">
      <c r="A68" s="33">
        <v>62</v>
      </c>
      <c r="B68" s="5" t="s">
        <v>267</v>
      </c>
      <c r="C68" s="41" t="s">
        <v>532</v>
      </c>
      <c r="D68" s="44">
        <v>0</v>
      </c>
      <c r="F68" s="38">
        <f>ROUND((F63+F65+F67),2)</f>
        <v>0</v>
      </c>
      <c r="G68" s="38"/>
      <c r="H68" s="38"/>
      <c r="I68" s="38"/>
      <c r="J68" s="45"/>
      <c r="K68" s="45"/>
      <c r="L68" s="38"/>
      <c r="N68" s="41" t="s">
        <v>586</v>
      </c>
    </row>
    <row r="69" spans="1:14" ht="10.5">
      <c r="A69" s="33">
        <v>63</v>
      </c>
      <c r="B69" s="5" t="s">
        <v>268</v>
      </c>
      <c r="C69" s="41" t="s">
        <v>38</v>
      </c>
      <c r="D69" s="44">
        <v>0</v>
      </c>
      <c r="F69" s="38">
        <f>ROUND((F63+F66+F67),2)</f>
        <v>0</v>
      </c>
      <c r="G69" s="38"/>
      <c r="H69" s="38"/>
      <c r="I69" s="38"/>
      <c r="J69" s="45"/>
      <c r="K69" s="45"/>
      <c r="L69" s="38"/>
      <c r="N69" s="41" t="s">
        <v>587</v>
      </c>
    </row>
    <row r="70" spans="1:14" ht="10.5">
      <c r="A70" s="33">
        <v>64</v>
      </c>
      <c r="B70" s="5" t="s">
        <v>269</v>
      </c>
      <c r="C70" s="41" t="s">
        <v>525</v>
      </c>
      <c r="D70" s="44">
        <v>0</v>
      </c>
      <c r="F70" s="38">
        <f>ROUND(SUMIF(Определители!I6:I25,"=7",'Базовые цены с учетом расхода'!B6:B25),2)</f>
        <v>0</v>
      </c>
      <c r="G70" s="38">
        <f>ROUND(SUMIF(Определители!I6:I25,"=7",'Базовые цены с учетом расхода'!C6:C25),2)</f>
        <v>0</v>
      </c>
      <c r="H70" s="38">
        <f>ROUND(SUMIF(Определители!I6:I25,"=7",'Базовые цены с учетом расхода'!D6:D25),2)</f>
        <v>0</v>
      </c>
      <c r="I70" s="38">
        <f>ROUND(SUMIF(Определители!I6:I25,"=7",'Базовые цены с учетом расхода'!E6:E25),2)</f>
        <v>0</v>
      </c>
      <c r="J70" s="45">
        <f>ROUND(SUMIF(Определители!I6:I25,"=7",'Базовые цены с учетом расхода'!I6:I25),8)</f>
        <v>0</v>
      </c>
      <c r="K70" s="45">
        <f>ROUND(SUMIF(Определители!I6:I25,"=7",'Базовые цены с учетом расхода'!K6:K25),8)</f>
        <v>0</v>
      </c>
      <c r="L70" s="38">
        <f>ROUND(SUMIF(Определители!I6:I25,"=7",'Базовые цены с учетом расхода'!F6:F25),2)</f>
        <v>0</v>
      </c>
      <c r="N70" s="41" t="s">
        <v>588</v>
      </c>
    </row>
    <row r="71" spans="1:14" ht="10.5">
      <c r="A71" s="33">
        <v>65</v>
      </c>
      <c r="B71" s="5" t="s">
        <v>238</v>
      </c>
      <c r="C71" s="41" t="s">
        <v>525</v>
      </c>
      <c r="D71" s="44">
        <v>0</v>
      </c>
      <c r="F71" s="38"/>
      <c r="G71" s="38"/>
      <c r="H71" s="38"/>
      <c r="I71" s="38"/>
      <c r="J71" s="45"/>
      <c r="K71" s="45"/>
      <c r="L71" s="38"/>
      <c r="N71" s="41" t="s">
        <v>589</v>
      </c>
    </row>
    <row r="72" spans="1:14" ht="10.5">
      <c r="A72" s="33">
        <v>66</v>
      </c>
      <c r="B72" s="5" t="s">
        <v>270</v>
      </c>
      <c r="C72" s="41" t="s">
        <v>525</v>
      </c>
      <c r="D72" s="44">
        <v>0</v>
      </c>
      <c r="F72" s="38">
        <f>ROUND(СУММЕСЛИ2(Определители!I6:I25,"2",Определители!G6:G25,"1",'Базовые цены с учетом расхода'!B6:B25),2)</f>
        <v>0</v>
      </c>
      <c r="G72" s="38"/>
      <c r="H72" s="38"/>
      <c r="I72" s="38"/>
      <c r="J72" s="45"/>
      <c r="K72" s="45"/>
      <c r="L72" s="38"/>
      <c r="N72" s="41" t="s">
        <v>590</v>
      </c>
    </row>
    <row r="73" spans="1:14" ht="10.5">
      <c r="A73" s="33">
        <v>67</v>
      </c>
      <c r="B73" s="5" t="s">
        <v>242</v>
      </c>
      <c r="C73" s="41" t="s">
        <v>525</v>
      </c>
      <c r="D73" s="44">
        <v>0</v>
      </c>
      <c r="F73" s="38">
        <f>ROUND(SUMIF(Определители!I6:I25,"=7",'Базовые цены с учетом расхода'!H6:H25),2)</f>
        <v>0</v>
      </c>
      <c r="G73" s="38"/>
      <c r="H73" s="38"/>
      <c r="I73" s="38"/>
      <c r="J73" s="45"/>
      <c r="K73" s="45"/>
      <c r="L73" s="38"/>
      <c r="N73" s="41" t="s">
        <v>591</v>
      </c>
    </row>
    <row r="74" spans="1:14" ht="10.5">
      <c r="A74" s="33">
        <v>68</v>
      </c>
      <c r="B74" s="5" t="s">
        <v>271</v>
      </c>
      <c r="C74" s="41" t="s">
        <v>525</v>
      </c>
      <c r="D74" s="44">
        <v>0</v>
      </c>
      <c r="F74" s="38">
        <f>ROUND(SUMIF(Определители!I6:I25,"=7",'Базовые цены с учетом расхода'!N6:N25),2)</f>
        <v>0</v>
      </c>
      <c r="G74" s="38"/>
      <c r="H74" s="38"/>
      <c r="I74" s="38"/>
      <c r="J74" s="45"/>
      <c r="K74" s="45"/>
      <c r="L74" s="38"/>
      <c r="N74" s="41" t="s">
        <v>592</v>
      </c>
    </row>
    <row r="75" spans="1:14" ht="10.5">
      <c r="A75" s="33">
        <v>69</v>
      </c>
      <c r="B75" s="5" t="s">
        <v>244</v>
      </c>
      <c r="C75" s="41" t="s">
        <v>542</v>
      </c>
      <c r="D75" s="44">
        <v>0.94</v>
      </c>
      <c r="F75" s="38">
        <f>ROUND((F74)*D75,2)</f>
        <v>0</v>
      </c>
      <c r="G75" s="38"/>
      <c r="H75" s="38"/>
      <c r="I75" s="38"/>
      <c r="J75" s="45"/>
      <c r="K75" s="45"/>
      <c r="L75" s="38"/>
      <c r="N75" s="41" t="s">
        <v>593</v>
      </c>
    </row>
    <row r="76" spans="1:14" ht="10.5">
      <c r="A76" s="33">
        <v>70</v>
      </c>
      <c r="B76" s="5" t="s">
        <v>245</v>
      </c>
      <c r="C76" s="41" t="s">
        <v>525</v>
      </c>
      <c r="D76" s="44">
        <v>0</v>
      </c>
      <c r="F76" s="38">
        <f>ROUND(SUMIF(Определители!I6:I25,"=7",'Базовые цены с учетом расхода'!O6:O25),2)</f>
        <v>0</v>
      </c>
      <c r="G76" s="38"/>
      <c r="H76" s="38"/>
      <c r="I76" s="38"/>
      <c r="J76" s="45"/>
      <c r="K76" s="45"/>
      <c r="L76" s="38"/>
      <c r="N76" s="41" t="s">
        <v>594</v>
      </c>
    </row>
    <row r="77" spans="1:14" ht="10.5">
      <c r="A77" s="33">
        <v>71</v>
      </c>
      <c r="B77" s="5" t="s">
        <v>272</v>
      </c>
      <c r="C77" s="41" t="s">
        <v>532</v>
      </c>
      <c r="D77" s="44">
        <v>0</v>
      </c>
      <c r="F77" s="38">
        <f>ROUND((F70+F74+F76),2)</f>
        <v>0</v>
      </c>
      <c r="G77" s="38"/>
      <c r="H77" s="38"/>
      <c r="I77" s="38"/>
      <c r="J77" s="45"/>
      <c r="K77" s="45"/>
      <c r="L77" s="38"/>
      <c r="N77" s="41" t="s">
        <v>595</v>
      </c>
    </row>
    <row r="78" spans="1:14" ht="10.5">
      <c r="A78" s="33">
        <v>72</v>
      </c>
      <c r="B78" s="5" t="s">
        <v>273</v>
      </c>
      <c r="C78" s="41" t="s">
        <v>38</v>
      </c>
      <c r="D78" s="44">
        <v>0</v>
      </c>
      <c r="F78" s="38">
        <f>ROUND((F70+F75+F76),2)</f>
        <v>0</v>
      </c>
      <c r="G78" s="38"/>
      <c r="H78" s="38"/>
      <c r="I78" s="38"/>
      <c r="J78" s="45"/>
      <c r="K78" s="45"/>
      <c r="L78" s="38"/>
      <c r="N78" s="41" t="s">
        <v>596</v>
      </c>
    </row>
    <row r="79" spans="1:14" ht="10.5">
      <c r="A79" s="33">
        <v>73</v>
      </c>
      <c r="B79" s="5" t="s">
        <v>274</v>
      </c>
      <c r="C79" s="41" t="s">
        <v>525</v>
      </c>
      <c r="D79" s="44">
        <v>0</v>
      </c>
      <c r="F79" s="38">
        <f>ROUND(SUMIF(Определители!I6:I25,"=9",'Базовые цены с учетом расхода'!B6:B25),2)</f>
        <v>0</v>
      </c>
      <c r="G79" s="38">
        <f>ROUND(SUMIF(Определители!I6:I25,"=9",'Базовые цены с учетом расхода'!C6:C25),2)</f>
        <v>0</v>
      </c>
      <c r="H79" s="38">
        <f>ROUND(SUMIF(Определители!I6:I25,"=9",'Базовые цены с учетом расхода'!D6:D25),2)</f>
        <v>0</v>
      </c>
      <c r="I79" s="38">
        <f>ROUND(SUMIF(Определители!I6:I25,"=9",'Базовые цены с учетом расхода'!E6:E25),2)</f>
        <v>0</v>
      </c>
      <c r="J79" s="45">
        <f>ROUND(SUMIF(Определители!I6:I25,"=9",'Базовые цены с учетом расхода'!I6:I25),8)</f>
        <v>0</v>
      </c>
      <c r="K79" s="45">
        <f>ROUND(SUMIF(Определители!I6:I25,"=9",'Базовые цены с учетом расхода'!K6:K25),8)</f>
        <v>0</v>
      </c>
      <c r="L79" s="38">
        <f>ROUND(SUMIF(Определители!I6:I25,"=9",'Базовые цены с учетом расхода'!F6:F25),2)</f>
        <v>0</v>
      </c>
      <c r="N79" s="41" t="s">
        <v>597</v>
      </c>
    </row>
    <row r="80" spans="1:14" ht="10.5">
      <c r="A80" s="33">
        <v>74</v>
      </c>
      <c r="B80" s="5" t="s">
        <v>271</v>
      </c>
      <c r="C80" s="41" t="s">
        <v>525</v>
      </c>
      <c r="D80" s="44">
        <v>0</v>
      </c>
      <c r="F80" s="38">
        <f>ROUND(SUMIF(Определители!I6:I25,"=9",'Базовые цены с учетом расхода'!N6:N25),2)</f>
        <v>0</v>
      </c>
      <c r="G80" s="38"/>
      <c r="H80" s="38"/>
      <c r="I80" s="38"/>
      <c r="J80" s="45"/>
      <c r="K80" s="45"/>
      <c r="L80" s="38"/>
      <c r="N80" s="41" t="s">
        <v>598</v>
      </c>
    </row>
    <row r="81" spans="1:14" ht="10.5">
      <c r="A81" s="33">
        <v>75</v>
      </c>
      <c r="B81" s="5" t="s">
        <v>244</v>
      </c>
      <c r="C81" s="41" t="s">
        <v>542</v>
      </c>
      <c r="D81" s="44">
        <v>0.94</v>
      </c>
      <c r="F81" s="38">
        <f>ROUND((F80)*D81,2)</f>
        <v>0</v>
      </c>
      <c r="G81" s="38"/>
      <c r="H81" s="38"/>
      <c r="I81" s="38"/>
      <c r="J81" s="45"/>
      <c r="K81" s="45"/>
      <c r="L81" s="38"/>
      <c r="N81" s="41" t="s">
        <v>599</v>
      </c>
    </row>
    <row r="82" spans="1:14" ht="10.5">
      <c r="A82" s="33">
        <v>76</v>
      </c>
      <c r="B82" s="5" t="s">
        <v>245</v>
      </c>
      <c r="C82" s="41" t="s">
        <v>525</v>
      </c>
      <c r="D82" s="44">
        <v>0</v>
      </c>
      <c r="F82" s="38">
        <f>ROUND(SUMIF(Определители!I6:I25,"=9",'Базовые цены с учетом расхода'!O6:O25),2)</f>
        <v>0</v>
      </c>
      <c r="G82" s="38"/>
      <c r="H82" s="38"/>
      <c r="I82" s="38"/>
      <c r="J82" s="45"/>
      <c r="K82" s="45"/>
      <c r="L82" s="38"/>
      <c r="N82" s="41" t="s">
        <v>600</v>
      </c>
    </row>
    <row r="83" spans="1:14" ht="10.5">
      <c r="A83" s="33">
        <v>77</v>
      </c>
      <c r="B83" s="5" t="s">
        <v>275</v>
      </c>
      <c r="C83" s="41" t="s">
        <v>532</v>
      </c>
      <c r="D83" s="44">
        <v>0</v>
      </c>
      <c r="F83" s="38">
        <f>ROUND((F79+F80+F82),2)</f>
        <v>0</v>
      </c>
      <c r="G83" s="38"/>
      <c r="H83" s="38"/>
      <c r="I83" s="38"/>
      <c r="J83" s="45"/>
      <c r="K83" s="45"/>
      <c r="L83" s="38"/>
      <c r="N83" s="41" t="s">
        <v>601</v>
      </c>
    </row>
    <row r="84" spans="1:14" ht="10.5">
      <c r="A84" s="33">
        <v>78</v>
      </c>
      <c r="B84" s="5" t="s">
        <v>276</v>
      </c>
      <c r="C84" s="41" t="s">
        <v>38</v>
      </c>
      <c r="D84" s="44">
        <v>0</v>
      </c>
      <c r="F84" s="38">
        <f>ROUND((F79+F81+F82),2)</f>
        <v>0</v>
      </c>
      <c r="G84" s="38"/>
      <c r="H84" s="38"/>
      <c r="I84" s="38"/>
      <c r="J84" s="45"/>
      <c r="K84" s="45"/>
      <c r="L84" s="38"/>
      <c r="N84" s="41" t="s">
        <v>602</v>
      </c>
    </row>
    <row r="85" spans="1:14" ht="10.5">
      <c r="A85" s="33">
        <v>79</v>
      </c>
      <c r="B85" s="5" t="s">
        <v>277</v>
      </c>
      <c r="C85" s="41" t="s">
        <v>525</v>
      </c>
      <c r="D85" s="44">
        <v>0</v>
      </c>
      <c r="F85" s="38">
        <f>ROUND(SUMIF(Определители!I6:I25,"=:",'Базовые цены с учетом расхода'!B6:B25),2)</f>
        <v>0</v>
      </c>
      <c r="G85" s="38">
        <f>ROUND(SUMIF(Определители!I6:I25,"=:",'Базовые цены с учетом расхода'!C6:C25),2)</f>
        <v>0</v>
      </c>
      <c r="H85" s="38">
        <f>ROUND(SUMIF(Определители!I6:I25,"=:",'Базовые цены с учетом расхода'!D6:D25),2)</f>
        <v>0</v>
      </c>
      <c r="I85" s="38">
        <f>ROUND(SUMIF(Определители!I6:I25,"=:",'Базовые цены с учетом расхода'!E6:E25),2)</f>
        <v>0</v>
      </c>
      <c r="J85" s="45">
        <f>ROUND(SUMIF(Определители!I6:I25,"=:",'Базовые цены с учетом расхода'!I6:I25),8)</f>
        <v>0</v>
      </c>
      <c r="K85" s="45">
        <f>ROUND(SUMIF(Определители!I6:I25,"=:",'Базовые цены с учетом расхода'!K6:K25),8)</f>
        <v>0</v>
      </c>
      <c r="L85" s="38">
        <f>ROUND(SUMIF(Определители!I6:I25,"=:",'Базовые цены с учетом расхода'!F6:F25),2)</f>
        <v>0</v>
      </c>
      <c r="N85" s="41" t="s">
        <v>603</v>
      </c>
    </row>
    <row r="86" spans="1:14" ht="10.5">
      <c r="A86" s="33">
        <v>80</v>
      </c>
      <c r="B86" s="5" t="s">
        <v>242</v>
      </c>
      <c r="C86" s="41" t="s">
        <v>525</v>
      </c>
      <c r="D86" s="44">
        <v>0</v>
      </c>
      <c r="F86" s="38">
        <f>ROUND(SUMIF(Определители!I6:I25,"=:",'Базовые цены с учетом расхода'!H6:H25),2)</f>
        <v>0</v>
      </c>
      <c r="G86" s="38"/>
      <c r="H86" s="38"/>
      <c r="I86" s="38"/>
      <c r="J86" s="45"/>
      <c r="K86" s="45"/>
      <c r="L86" s="38"/>
      <c r="N86" s="41" t="s">
        <v>604</v>
      </c>
    </row>
    <row r="87" spans="1:14" ht="10.5">
      <c r="A87" s="33">
        <v>81</v>
      </c>
      <c r="B87" s="5" t="s">
        <v>271</v>
      </c>
      <c r="C87" s="41" t="s">
        <v>525</v>
      </c>
      <c r="D87" s="44">
        <v>0</v>
      </c>
      <c r="F87" s="38">
        <f>ROUND(SUMIF(Определители!I6:I25,"=:",'Базовые цены с учетом расхода'!N6:N25),2)</f>
        <v>0</v>
      </c>
      <c r="G87" s="38"/>
      <c r="H87" s="38"/>
      <c r="I87" s="38"/>
      <c r="J87" s="45"/>
      <c r="K87" s="45"/>
      <c r="L87" s="38"/>
      <c r="N87" s="41" t="s">
        <v>605</v>
      </c>
    </row>
    <row r="88" spans="1:14" ht="10.5">
      <c r="A88" s="33">
        <v>82</v>
      </c>
      <c r="B88" s="5" t="s">
        <v>244</v>
      </c>
      <c r="C88" s="41" t="s">
        <v>542</v>
      </c>
      <c r="D88" s="44">
        <v>0.94</v>
      </c>
      <c r="F88" s="38">
        <f>ROUND((F87)*D88,2)</f>
        <v>0</v>
      </c>
      <c r="G88" s="38"/>
      <c r="H88" s="38"/>
      <c r="I88" s="38"/>
      <c r="J88" s="45"/>
      <c r="K88" s="45"/>
      <c r="L88" s="38"/>
      <c r="N88" s="41" t="s">
        <v>606</v>
      </c>
    </row>
    <row r="89" spans="1:14" ht="10.5">
      <c r="A89" s="33">
        <v>83</v>
      </c>
      <c r="B89" s="5" t="s">
        <v>245</v>
      </c>
      <c r="C89" s="41" t="s">
        <v>525</v>
      </c>
      <c r="D89" s="44">
        <v>0</v>
      </c>
      <c r="F89" s="38">
        <f>ROUND(SUMIF(Определители!I6:I25,"=:",'Базовые цены с учетом расхода'!O6:O25),2)</f>
        <v>0</v>
      </c>
      <c r="G89" s="38"/>
      <c r="H89" s="38"/>
      <c r="I89" s="38"/>
      <c r="J89" s="45"/>
      <c r="K89" s="45"/>
      <c r="L89" s="38"/>
      <c r="N89" s="41" t="s">
        <v>607</v>
      </c>
    </row>
    <row r="90" spans="1:14" ht="10.5">
      <c r="A90" s="33">
        <v>84</v>
      </c>
      <c r="B90" s="5" t="s">
        <v>278</v>
      </c>
      <c r="C90" s="41" t="s">
        <v>532</v>
      </c>
      <c r="D90" s="44">
        <v>0</v>
      </c>
      <c r="F90" s="38">
        <f>ROUND((F85+F87+F89),2)</f>
        <v>0</v>
      </c>
      <c r="G90" s="38"/>
      <c r="H90" s="38"/>
      <c r="I90" s="38"/>
      <c r="J90" s="45"/>
      <c r="K90" s="45"/>
      <c r="L90" s="38"/>
      <c r="N90" s="41" t="s">
        <v>608</v>
      </c>
    </row>
    <row r="91" spans="1:14" ht="10.5">
      <c r="A91" s="33">
        <v>85</v>
      </c>
      <c r="B91" s="5" t="s">
        <v>279</v>
      </c>
      <c r="C91" s="41" t="s">
        <v>38</v>
      </c>
      <c r="D91" s="44">
        <v>0</v>
      </c>
      <c r="F91" s="38">
        <f>ROUND((F85+F88+F89),2)</f>
        <v>0</v>
      </c>
      <c r="G91" s="38"/>
      <c r="H91" s="38"/>
      <c r="I91" s="38"/>
      <c r="J91" s="45"/>
      <c r="K91" s="45"/>
      <c r="L91" s="38"/>
      <c r="N91" s="41" t="s">
        <v>609</v>
      </c>
    </row>
    <row r="92" spans="1:14" ht="10.5">
      <c r="A92" s="33">
        <v>86</v>
      </c>
      <c r="B92" s="5" t="s">
        <v>280</v>
      </c>
      <c r="C92" s="41" t="s">
        <v>525</v>
      </c>
      <c r="D92" s="44">
        <v>0</v>
      </c>
      <c r="F92" s="38">
        <f>ROUND(SUMIF(Определители!I6:I25,"=8",'Базовые цены с учетом расхода'!B6:B25),2)</f>
        <v>0</v>
      </c>
      <c r="G92" s="38">
        <f>ROUND(SUMIF(Определители!I6:I25,"=8",'Базовые цены с учетом расхода'!C6:C25),2)</f>
        <v>0</v>
      </c>
      <c r="H92" s="38">
        <f>ROUND(SUMIF(Определители!I6:I25,"=8",'Базовые цены с учетом расхода'!D6:D25),2)</f>
        <v>0</v>
      </c>
      <c r="I92" s="38">
        <f>ROUND(SUMIF(Определители!I6:I25,"=8",'Базовые цены с учетом расхода'!E6:E25),2)</f>
        <v>0</v>
      </c>
      <c r="J92" s="45">
        <f>ROUND(SUMIF(Определители!I6:I25,"=8",'Базовые цены с учетом расхода'!I6:I25),8)</f>
        <v>0</v>
      </c>
      <c r="K92" s="45">
        <f>ROUND(SUMIF(Определители!I6:I25,"=8",'Базовые цены с учетом расхода'!K6:K25),8)</f>
        <v>0</v>
      </c>
      <c r="L92" s="38">
        <f>ROUND(SUMIF(Определители!I6:I25,"=8",'Базовые цены с учетом расхода'!F6:F25),2)</f>
        <v>0</v>
      </c>
      <c r="N92" s="41" t="s">
        <v>610</v>
      </c>
    </row>
    <row r="93" spans="1:14" ht="10.5">
      <c r="A93" s="33">
        <v>87</v>
      </c>
      <c r="B93" s="5" t="s">
        <v>242</v>
      </c>
      <c r="C93" s="41" t="s">
        <v>525</v>
      </c>
      <c r="D93" s="44">
        <v>0</v>
      </c>
      <c r="F93" s="38">
        <f>ROUND(SUMIF(Определители!I6:I25,"=8",'Базовые цены с учетом расхода'!H6:H25),2)</f>
        <v>0</v>
      </c>
      <c r="G93" s="38"/>
      <c r="H93" s="38"/>
      <c r="I93" s="38"/>
      <c r="J93" s="45"/>
      <c r="K93" s="45"/>
      <c r="L93" s="38"/>
      <c r="N93" s="41" t="s">
        <v>611</v>
      </c>
    </row>
    <row r="94" spans="1:14" ht="10.5">
      <c r="A94" s="33">
        <v>88</v>
      </c>
      <c r="B94" s="5" t="s">
        <v>281</v>
      </c>
      <c r="C94" s="41" t="s">
        <v>532</v>
      </c>
      <c r="D94" s="44">
        <v>0</v>
      </c>
      <c r="F94" s="38">
        <f>ROUND((F17+F28+F37+F44+F54+F61+F68+F77+F83+F90+F92),2)</f>
        <v>0</v>
      </c>
      <c r="G94" s="38">
        <f>ROUND((G17+G28+G37+G44+G54+G61+G68+G77+G83+G90+G92),2)</f>
        <v>0</v>
      </c>
      <c r="H94" s="38">
        <f>ROUND((H17+H28+H37+H44+H54+H61+H68+H77+H83+H90+H92),2)</f>
        <v>0</v>
      </c>
      <c r="I94" s="38">
        <f>ROUND((I17+I28+I37+I44+I54+I61+I68+I77+I83+I90+I92),2)</f>
        <v>0</v>
      </c>
      <c r="J94" s="45">
        <f>ROUND((J17+J28+J37+J44+J54+J61+J68+J77+J83+J90+J92),8)</f>
        <v>0</v>
      </c>
      <c r="K94" s="45">
        <f>ROUND((K17+K28+K37+K44+K54+K61+K68+K77+K83+K90+K92),8)</f>
        <v>0</v>
      </c>
      <c r="L94" s="38">
        <f>ROUND((L17+L28+L37+L44+L54+L61+L68+L77+L83+L90+L92),2)</f>
        <v>0</v>
      </c>
      <c r="N94" s="41" t="s">
        <v>612</v>
      </c>
    </row>
    <row r="95" spans="1:14" ht="10.5">
      <c r="A95" s="33">
        <v>89</v>
      </c>
      <c r="B95" s="5" t="s">
        <v>282</v>
      </c>
      <c r="C95" s="41" t="s">
        <v>542</v>
      </c>
      <c r="D95" s="44">
        <v>0.94</v>
      </c>
      <c r="F95" s="38">
        <f>ROUND((F100)*D95,2)</f>
        <v>0</v>
      </c>
      <c r="G95" s="38"/>
      <c r="H95" s="38"/>
      <c r="I95" s="38"/>
      <c r="J95" s="45"/>
      <c r="K95" s="45"/>
      <c r="L95" s="38"/>
      <c r="N95" s="41" t="s">
        <v>613</v>
      </c>
    </row>
    <row r="96" spans="1:14" ht="10.5">
      <c r="A96" s="33">
        <v>90</v>
      </c>
      <c r="B96" s="5" t="s">
        <v>283</v>
      </c>
      <c r="C96" s="41" t="s">
        <v>38</v>
      </c>
      <c r="D96" s="44">
        <v>0</v>
      </c>
      <c r="F96" s="38">
        <f>ROUND((F7+F95+F101),2)</f>
        <v>0</v>
      </c>
      <c r="G96" s="38"/>
      <c r="H96" s="38"/>
      <c r="I96" s="38"/>
      <c r="J96" s="45"/>
      <c r="K96" s="45"/>
      <c r="L96" s="38"/>
      <c r="N96" s="41" t="s">
        <v>614</v>
      </c>
    </row>
    <row r="97" spans="1:14" ht="10.5">
      <c r="A97" s="33">
        <v>91</v>
      </c>
      <c r="B97" s="5" t="s">
        <v>284</v>
      </c>
      <c r="C97" s="41" t="s">
        <v>615</v>
      </c>
      <c r="D97" s="44">
        <v>18</v>
      </c>
      <c r="F97" s="38">
        <f>ROUND((F96)*D97/100,2)</f>
        <v>0</v>
      </c>
      <c r="G97" s="38"/>
      <c r="H97" s="38"/>
      <c r="I97" s="38"/>
      <c r="J97" s="45"/>
      <c r="K97" s="45"/>
      <c r="L97" s="38"/>
      <c r="N97" s="41" t="s">
        <v>616</v>
      </c>
    </row>
    <row r="98" spans="1:14" ht="10.5">
      <c r="A98" s="33">
        <v>92</v>
      </c>
      <c r="B98" s="5" t="s">
        <v>285</v>
      </c>
      <c r="C98" s="41" t="s">
        <v>38</v>
      </c>
      <c r="D98" s="44">
        <v>0</v>
      </c>
      <c r="F98" s="38">
        <f>ROUND((F97+F96),2)</f>
        <v>0</v>
      </c>
      <c r="G98" s="38"/>
      <c r="H98" s="38"/>
      <c r="I98" s="38"/>
      <c r="J98" s="45"/>
      <c r="K98" s="45"/>
      <c r="L98" s="38"/>
      <c r="N98" s="41" t="s">
        <v>617</v>
      </c>
    </row>
    <row r="99" spans="1:14" ht="10.5">
      <c r="A99" s="33">
        <v>93</v>
      </c>
      <c r="B99" s="5" t="s">
        <v>286</v>
      </c>
      <c r="C99" s="41" t="s">
        <v>532</v>
      </c>
      <c r="D99" s="44">
        <v>0</v>
      </c>
      <c r="F99" s="38">
        <f>ROUND((F23+F33+F40+F49+F57+F64+F73+F86+F93),2)</f>
        <v>0</v>
      </c>
      <c r="G99" s="38"/>
      <c r="H99" s="38"/>
      <c r="I99" s="38"/>
      <c r="J99" s="45"/>
      <c r="K99" s="45"/>
      <c r="L99" s="38"/>
      <c r="N99" s="41" t="s">
        <v>618</v>
      </c>
    </row>
    <row r="100" spans="1:14" ht="10.5">
      <c r="A100" s="33">
        <v>94</v>
      </c>
      <c r="B100" s="5" t="s">
        <v>287</v>
      </c>
      <c r="C100" s="41" t="s">
        <v>532</v>
      </c>
      <c r="D100" s="44">
        <v>0</v>
      </c>
      <c r="F100" s="38">
        <f>ROUND((F24+F34+F41+F50+F58+F65+F74+F80+F87),2)</f>
        <v>0</v>
      </c>
      <c r="G100" s="38"/>
      <c r="H100" s="38"/>
      <c r="I100" s="38"/>
      <c r="J100" s="45"/>
      <c r="K100" s="45"/>
      <c r="L100" s="38"/>
      <c r="N100" s="41" t="s">
        <v>619</v>
      </c>
    </row>
    <row r="101" spans="1:14" ht="10.5">
      <c r="A101" s="33">
        <v>95</v>
      </c>
      <c r="B101" s="5" t="s">
        <v>288</v>
      </c>
      <c r="C101" s="41" t="s">
        <v>532</v>
      </c>
      <c r="D101" s="44">
        <v>0</v>
      </c>
      <c r="F101" s="38">
        <f>ROUND((F26+F36+F43+F52+F60+F67+F76+F82+F89),2)</f>
        <v>0</v>
      </c>
      <c r="G101" s="38"/>
      <c r="H101" s="38"/>
      <c r="I101" s="38"/>
      <c r="J101" s="45"/>
      <c r="K101" s="45"/>
      <c r="L101" s="38"/>
      <c r="N101" s="41" t="s">
        <v>620</v>
      </c>
    </row>
    <row r="102" spans="1:14" ht="10.5">
      <c r="A102" s="33">
        <v>96</v>
      </c>
      <c r="B102" s="5" t="s">
        <v>289</v>
      </c>
      <c r="C102" s="41" t="s">
        <v>621</v>
      </c>
      <c r="D102" s="44">
        <v>0</v>
      </c>
      <c r="F102" s="38"/>
      <c r="G102" s="38"/>
      <c r="H102" s="38"/>
      <c r="I102" s="38"/>
      <c r="J102" s="45"/>
      <c r="K102" s="45"/>
      <c r="L102" s="38">
        <f>ROUND(SUM('Базовые цены с учетом расхода'!X6:X25),2)</f>
        <v>0</v>
      </c>
      <c r="N102" s="41" t="s">
        <v>622</v>
      </c>
    </row>
    <row r="103" spans="1:14" ht="10.5">
      <c r="A103" s="33">
        <v>97</v>
      </c>
      <c r="B103" s="5" t="s">
        <v>290</v>
      </c>
      <c r="C103" s="41" t="s">
        <v>621</v>
      </c>
      <c r="D103" s="44">
        <v>0</v>
      </c>
      <c r="F103" s="38">
        <f>ROUND(SUM('Базовые цены с учетом расхода'!C6:C25),2)</f>
        <v>0</v>
      </c>
      <c r="G103" s="38"/>
      <c r="H103" s="38"/>
      <c r="I103" s="38"/>
      <c r="J103" s="45"/>
      <c r="K103" s="45"/>
      <c r="L103" s="38"/>
      <c r="N103" s="41" t="s">
        <v>623</v>
      </c>
    </row>
    <row r="104" spans="1:14" ht="10.5">
      <c r="A104" s="33">
        <v>98</v>
      </c>
      <c r="B104" s="5" t="s">
        <v>291</v>
      </c>
      <c r="C104" s="41" t="s">
        <v>621</v>
      </c>
      <c r="D104" s="44">
        <v>0</v>
      </c>
      <c r="F104" s="38">
        <f>ROUND(SUM('Базовые цены с учетом расхода'!E6:E25),2)</f>
        <v>0</v>
      </c>
      <c r="G104" s="38"/>
      <c r="H104" s="38"/>
      <c r="I104" s="38"/>
      <c r="J104" s="45"/>
      <c r="K104" s="45"/>
      <c r="L104" s="38"/>
      <c r="N104" s="41" t="s">
        <v>624</v>
      </c>
    </row>
    <row r="105" spans="1:14" ht="10.5">
      <c r="A105" s="33">
        <v>99</v>
      </c>
      <c r="B105" s="5" t="s">
        <v>292</v>
      </c>
      <c r="C105" s="41" t="s">
        <v>38</v>
      </c>
      <c r="D105" s="44">
        <v>0</v>
      </c>
      <c r="F105" s="38">
        <f>ROUND((F103+F104),2)</f>
        <v>0</v>
      </c>
      <c r="G105" s="38"/>
      <c r="H105" s="38"/>
      <c r="I105" s="38"/>
      <c r="J105" s="45"/>
      <c r="K105" s="45"/>
      <c r="L105" s="38"/>
      <c r="N105" s="41" t="s">
        <v>625</v>
      </c>
    </row>
    <row r="106" spans="1:14" ht="10.5">
      <c r="A106" s="33">
        <v>100</v>
      </c>
      <c r="B106" s="5" t="s">
        <v>293</v>
      </c>
      <c r="C106" s="41" t="s">
        <v>621</v>
      </c>
      <c r="D106" s="44">
        <v>0</v>
      </c>
      <c r="F106" s="38"/>
      <c r="G106" s="38"/>
      <c r="H106" s="38"/>
      <c r="I106" s="38"/>
      <c r="J106" s="45">
        <f>ROUND(SUM('Базовые цены с учетом расхода'!I6:I25),8)</f>
        <v>504.2559</v>
      </c>
      <c r="K106" s="45"/>
      <c r="L106" s="38"/>
      <c r="N106" s="41" t="s">
        <v>626</v>
      </c>
    </row>
    <row r="107" spans="1:14" ht="10.5">
      <c r="A107" s="33">
        <v>101</v>
      </c>
      <c r="B107" s="5" t="s">
        <v>294</v>
      </c>
      <c r="C107" s="41" t="s">
        <v>621</v>
      </c>
      <c r="D107" s="44">
        <v>0</v>
      </c>
      <c r="F107" s="38"/>
      <c r="G107" s="38"/>
      <c r="H107" s="38"/>
      <c r="I107" s="38"/>
      <c r="J107" s="45">
        <f>ROUND(SUM('Базовые цены с учетом расхода'!K6:K25),8)</f>
        <v>124.820428</v>
      </c>
      <c r="K107" s="45"/>
      <c r="L107" s="38"/>
      <c r="N107" s="41" t="s">
        <v>627</v>
      </c>
    </row>
    <row r="108" spans="1:14" ht="10.5">
      <c r="A108" s="33">
        <v>102</v>
      </c>
      <c r="B108" s="5" t="s">
        <v>295</v>
      </c>
      <c r="C108" s="41" t="s">
        <v>38</v>
      </c>
      <c r="D108" s="44">
        <v>0</v>
      </c>
      <c r="F108" s="38"/>
      <c r="G108" s="38"/>
      <c r="H108" s="38"/>
      <c r="I108" s="38"/>
      <c r="J108" s="45">
        <f>ROUND((J106+J107),8)</f>
        <v>629.076328</v>
      </c>
      <c r="K108" s="45"/>
      <c r="L108" s="38"/>
      <c r="N108" s="41" t="s">
        <v>628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2:N10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2" width="44.421875" style="5" customWidth="1"/>
    <col min="3" max="3" width="3.421875" style="41" customWidth="1"/>
    <col min="4" max="4" width="6.00390625" style="44" customWidth="1"/>
    <col min="5" max="5" width="6.00390625" style="5" customWidth="1"/>
    <col min="6" max="9" width="12.7109375" style="44" customWidth="1"/>
    <col min="10" max="11" width="18.7109375" style="44" customWidth="1"/>
    <col min="12" max="12" width="12.7109375" style="44" customWidth="1"/>
    <col min="13" max="13" width="9.140625" style="44" customWidth="1"/>
    <col min="14" max="14" width="3.421875" style="41" hidden="1" customWidth="1"/>
    <col min="15" max="16384" width="9.140625" style="44" customWidth="1"/>
  </cols>
  <sheetData>
    <row r="2" spans="1:14" ht="10.5">
      <c r="A2" s="85"/>
      <c r="B2" s="91"/>
      <c r="C2" s="91"/>
      <c r="D2" s="92"/>
      <c r="E2" s="91"/>
      <c r="F2" s="92"/>
      <c r="G2" s="92"/>
      <c r="H2" s="92"/>
      <c r="N2" s="44"/>
    </row>
    <row r="3" spans="1:14" ht="10.5">
      <c r="A3" s="40"/>
      <c r="B3" s="87" t="s">
        <v>449</v>
      </c>
      <c r="C3" s="87"/>
      <c r="D3" s="87"/>
      <c r="E3" s="87"/>
      <c r="F3" s="87"/>
      <c r="G3" s="87"/>
      <c r="H3" s="87"/>
      <c r="N3" s="44"/>
    </row>
    <row r="4" spans="1:14" ht="10.5">
      <c r="A4" s="40"/>
      <c r="B4" s="87" t="s">
        <v>450</v>
      </c>
      <c r="C4" s="87"/>
      <c r="D4" s="87"/>
      <c r="E4" s="87"/>
      <c r="F4" s="87"/>
      <c r="G4" s="87"/>
      <c r="H4" s="87"/>
      <c r="N4" s="44"/>
    </row>
    <row r="5" spans="1:14" ht="10.5">
      <c r="A5" s="85"/>
      <c r="B5" s="91"/>
      <c r="C5" s="91"/>
      <c r="D5" s="92"/>
      <c r="E5" s="91"/>
      <c r="F5" s="92"/>
      <c r="G5" s="92"/>
      <c r="H5" s="92"/>
      <c r="N5" s="44"/>
    </row>
    <row r="6" spans="1:13" s="39" customFormat="1" ht="10.5">
      <c r="A6" s="6"/>
      <c r="B6" s="39" t="s">
        <v>300</v>
      </c>
      <c r="C6" s="39" t="s">
        <v>513</v>
      </c>
      <c r="D6" s="34" t="s">
        <v>514</v>
      </c>
      <c r="E6" s="39" t="s">
        <v>515</v>
      </c>
      <c r="F6" s="39" t="s">
        <v>516</v>
      </c>
      <c r="G6" s="39" t="s">
        <v>517</v>
      </c>
      <c r="H6" s="39" t="s">
        <v>518</v>
      </c>
      <c r="I6" s="39" t="s">
        <v>519</v>
      </c>
      <c r="J6" s="39" t="s">
        <v>520</v>
      </c>
      <c r="K6" s="39" t="s">
        <v>521</v>
      </c>
      <c r="L6" s="39" t="s">
        <v>522</v>
      </c>
      <c r="M6" s="39" t="s">
        <v>523</v>
      </c>
    </row>
    <row r="7" spans="1:14" ht="10.5">
      <c r="A7" s="33">
        <v>1</v>
      </c>
      <c r="B7" s="5" t="s">
        <v>226</v>
      </c>
      <c r="C7" s="41" t="s">
        <v>524</v>
      </c>
      <c r="D7" s="44">
        <v>0</v>
      </c>
      <c r="E7" s="44"/>
      <c r="F7" s="38">
        <f>ROUND(SUM('Текущие цены с учетом расхода'!B6:B25),2)</f>
        <v>160207.11</v>
      </c>
      <c r="G7" s="38">
        <f>ROUND(SUM('Текущие цены с учетом расхода'!C6:C25),2)</f>
        <v>44999.87</v>
      </c>
      <c r="H7" s="38">
        <f>ROUND(SUM('Текущие цены с учетом расхода'!D6:D25),2)</f>
        <v>50182.75</v>
      </c>
      <c r="I7" s="38">
        <f>ROUND(SUM('Текущие цены с учетом расхода'!E6:E25),2)</f>
        <v>14950.9</v>
      </c>
      <c r="J7" s="45">
        <f>ROUND(SUM('Текущие цены с учетом расхода'!I6:I25),8)</f>
        <v>504.2559</v>
      </c>
      <c r="K7" s="45">
        <f>ROUND(SUM('Текущие цены с учетом расхода'!K6:K25),8)</f>
        <v>124.820428</v>
      </c>
      <c r="L7" s="38">
        <f>ROUND(SUM('Текущие цены с учетом расхода'!F6:F25),2)</f>
        <v>65024.46</v>
      </c>
      <c r="N7" s="41" t="s">
        <v>509</v>
      </c>
    </row>
    <row r="8" spans="1:14" ht="10.5">
      <c r="A8" s="33">
        <v>2</v>
      </c>
      <c r="B8" s="5" t="s">
        <v>227</v>
      </c>
      <c r="C8" s="41" t="s">
        <v>525</v>
      </c>
      <c r="D8" s="44">
        <v>0</v>
      </c>
      <c r="F8" s="38">
        <f>ROUND(SUMIF(Определители!I6:I25,"= ",'Текущие цены с учетом расхода'!B6:B25),2)</f>
        <v>0</v>
      </c>
      <c r="G8" s="38">
        <f>ROUND(SUMIF(Определители!I6:I25,"= ",'Текущие цены с учетом расхода'!C6:C25),2)</f>
        <v>0</v>
      </c>
      <c r="H8" s="38">
        <f>ROUND(SUMIF(Определители!I6:I25,"= ",'Текущие цены с учетом расхода'!D6:D25),2)</f>
        <v>0</v>
      </c>
      <c r="I8" s="38">
        <f>ROUND(SUMIF(Определители!I6:I25,"= ",'Текущие цены с учетом расхода'!E6:E25),2)</f>
        <v>0</v>
      </c>
      <c r="J8" s="45">
        <f>ROUND(SUMIF(Определители!I6:I25,"= ",'Текущие цены с учетом расхода'!I6:I25),8)</f>
        <v>0</v>
      </c>
      <c r="K8" s="45">
        <f>ROUND(SUMIF(Определители!I6:I25,"= ",'Текущие цены с учетом расхода'!K6:K25),8)</f>
        <v>0</v>
      </c>
      <c r="L8" s="38">
        <f>ROUND(SUMIF(Определители!I6:I25,"= ",'Текущие цены с учетом расхода'!F6:F25),2)</f>
        <v>0</v>
      </c>
      <c r="N8" s="41" t="s">
        <v>511</v>
      </c>
    </row>
    <row r="9" spans="1:14" ht="10.5">
      <c r="A9" s="33">
        <v>3</v>
      </c>
      <c r="B9" s="5" t="s">
        <v>228</v>
      </c>
      <c r="C9" s="41" t="s">
        <v>525</v>
      </c>
      <c r="D9" s="44">
        <v>0</v>
      </c>
      <c r="F9" s="38">
        <f>ROUND(СУММПРОИЗВЕСЛИ(0.01,Определители!I6:I25," ",'Текущие цены с учетом расхода'!B6:B25,Начисления!X6:X25,0),2)</f>
        <v>0</v>
      </c>
      <c r="G9" s="38"/>
      <c r="H9" s="38"/>
      <c r="I9" s="38"/>
      <c r="J9" s="45"/>
      <c r="K9" s="45"/>
      <c r="L9" s="38"/>
      <c r="N9" s="41" t="s">
        <v>526</v>
      </c>
    </row>
    <row r="10" spans="1:14" ht="10.5">
      <c r="A10" s="33">
        <v>4</v>
      </c>
      <c r="B10" s="5" t="s">
        <v>229</v>
      </c>
      <c r="C10" s="41" t="s">
        <v>525</v>
      </c>
      <c r="D10" s="44">
        <v>0</v>
      </c>
      <c r="F10" s="38">
        <f>ROUND(СУММПРОИЗВЕСЛИ(0.01,Определители!I6:I25," ",'Текущие цены с учетом расхода'!B6:B25,Начисления!Y6:Y25,0),2)</f>
        <v>0</v>
      </c>
      <c r="G10" s="38"/>
      <c r="H10" s="38"/>
      <c r="I10" s="38"/>
      <c r="J10" s="45"/>
      <c r="K10" s="45"/>
      <c r="L10" s="38"/>
      <c r="N10" s="41" t="s">
        <v>512</v>
      </c>
    </row>
    <row r="11" spans="1:14" ht="10.5">
      <c r="A11" s="33">
        <v>5</v>
      </c>
      <c r="B11" s="5" t="s">
        <v>230</v>
      </c>
      <c r="C11" s="41" t="s">
        <v>525</v>
      </c>
      <c r="D11" s="44">
        <v>0</v>
      </c>
      <c r="F11" s="38">
        <f>ROUND(ТРАНСПРАСХОД(Определители!B6:B25,Определители!H6:H25,Определители!I6:I25,'Текущие цены с учетом расхода'!B6:B25,Начисления!Z6:Z25,Начисления!AA6:AA25),2)</f>
        <v>0</v>
      </c>
      <c r="G11" s="38"/>
      <c r="H11" s="38"/>
      <c r="I11" s="38"/>
      <c r="J11" s="45"/>
      <c r="K11" s="45"/>
      <c r="L11" s="38"/>
      <c r="N11" s="41" t="s">
        <v>527</v>
      </c>
    </row>
    <row r="12" spans="1:14" ht="10.5">
      <c r="A12" s="33">
        <v>6</v>
      </c>
      <c r="B12" s="5" t="s">
        <v>231</v>
      </c>
      <c r="C12" s="41" t="s">
        <v>525</v>
      </c>
      <c r="D12" s="44">
        <v>0</v>
      </c>
      <c r="F12" s="38">
        <f>ROUND(СУММПРОИЗВЕСЛИ(0.01,Определители!I6:I25," ",'Текущие цены с учетом расхода'!B6:B25,Начисления!AC6:AC25,0),2)</f>
        <v>0</v>
      </c>
      <c r="G12" s="38"/>
      <c r="H12" s="38"/>
      <c r="I12" s="38"/>
      <c r="J12" s="45"/>
      <c r="K12" s="45"/>
      <c r="L12" s="38"/>
      <c r="N12" s="41" t="s">
        <v>528</v>
      </c>
    </row>
    <row r="13" spans="1:14" ht="10.5">
      <c r="A13" s="33">
        <v>7</v>
      </c>
      <c r="B13" s="5" t="s">
        <v>232</v>
      </c>
      <c r="C13" s="41" t="s">
        <v>525</v>
      </c>
      <c r="D13" s="44">
        <v>0</v>
      </c>
      <c r="F13" s="38">
        <f>ROUND(СУММПРОИЗВЕСЛИ(0.01,Определители!I6:I25," ",'Текущие цены с учетом расхода'!B6:B25,Начисления!AF6:AF25,0),2)</f>
        <v>0</v>
      </c>
      <c r="G13" s="38"/>
      <c r="H13" s="38"/>
      <c r="I13" s="38"/>
      <c r="J13" s="45"/>
      <c r="K13" s="45"/>
      <c r="L13" s="38"/>
      <c r="N13" s="41" t="s">
        <v>529</v>
      </c>
    </row>
    <row r="14" spans="1:14" ht="10.5">
      <c r="A14" s="33">
        <v>8</v>
      </c>
      <c r="B14" s="5" t="s">
        <v>233</v>
      </c>
      <c r="C14" s="41" t="s">
        <v>525</v>
      </c>
      <c r="D14" s="44">
        <v>0</v>
      </c>
      <c r="F14" s="38">
        <f>ROUND(ЗАГОТСКЛАДРАСХОД(Определители!B6:B25,Определители!H6:H25,Определители!I6:I25,'Текущие цены с учетом расхода'!B6:B25,Начисления!X6:X25,Начисления!Y6:Y25,Начисления!Z6:Z25,Начисления!AA6:AA25,Начисления!AB6:AB25,Начисления!AC6:AC25,Начисления!AF6:AF25),2)</f>
        <v>0</v>
      </c>
      <c r="G14" s="38"/>
      <c r="H14" s="38"/>
      <c r="I14" s="38"/>
      <c r="J14" s="45"/>
      <c r="K14" s="45"/>
      <c r="L14" s="38"/>
      <c r="N14" s="41" t="s">
        <v>530</v>
      </c>
    </row>
    <row r="15" spans="1:14" ht="10.5">
      <c r="A15" s="33">
        <v>9</v>
      </c>
      <c r="B15" s="5" t="s">
        <v>234</v>
      </c>
      <c r="C15" s="41" t="s">
        <v>525</v>
      </c>
      <c r="D15" s="44">
        <v>0</v>
      </c>
      <c r="F15" s="38">
        <f>ROUND(СУММПРОИЗВЕСЛИ(1,Определители!I6:I25," ",'Текущие цены с учетом расхода'!M6:M25,Начисления!I6:I25,0),2)</f>
        <v>0</v>
      </c>
      <c r="G15" s="38"/>
      <c r="H15" s="38"/>
      <c r="I15" s="38"/>
      <c r="J15" s="45"/>
      <c r="K15" s="45"/>
      <c r="L15" s="38"/>
      <c r="N15" s="41" t="s">
        <v>531</v>
      </c>
    </row>
    <row r="16" spans="1:14" ht="10.5">
      <c r="A16" s="33">
        <v>10</v>
      </c>
      <c r="B16" s="5" t="s">
        <v>235</v>
      </c>
      <c r="C16" s="41" t="s">
        <v>532</v>
      </c>
      <c r="D16" s="44">
        <v>0</v>
      </c>
      <c r="F16" s="38">
        <f>ROUND((F15+F27+F53),2)</f>
        <v>0</v>
      </c>
      <c r="G16" s="38"/>
      <c r="H16" s="38"/>
      <c r="I16" s="38"/>
      <c r="J16" s="45"/>
      <c r="K16" s="45"/>
      <c r="L16" s="38"/>
      <c r="N16" s="41" t="s">
        <v>533</v>
      </c>
    </row>
    <row r="17" spans="1:14" ht="10.5">
      <c r="A17" s="33">
        <v>11</v>
      </c>
      <c r="B17" s="5" t="s">
        <v>236</v>
      </c>
      <c r="C17" s="41" t="s">
        <v>532</v>
      </c>
      <c r="D17" s="44">
        <v>0</v>
      </c>
      <c r="F17" s="38">
        <f>ROUND((F8+F9+F10+F11+F12+F13+F14+F16),2)</f>
        <v>0</v>
      </c>
      <c r="G17" s="38"/>
      <c r="H17" s="38"/>
      <c r="I17" s="38"/>
      <c r="J17" s="45"/>
      <c r="K17" s="45"/>
      <c r="L17" s="38"/>
      <c r="N17" s="41" t="s">
        <v>534</v>
      </c>
    </row>
    <row r="18" spans="1:14" ht="10.5">
      <c r="A18" s="33">
        <v>12</v>
      </c>
      <c r="B18" s="5" t="s">
        <v>237</v>
      </c>
      <c r="C18" s="41" t="s">
        <v>525</v>
      </c>
      <c r="D18" s="44">
        <v>0</v>
      </c>
      <c r="F18" s="38">
        <f>ROUND(SUMIF(Определители!I6:I25,"=1",'Текущие цены с учетом расхода'!B6:B25),2)</f>
        <v>0</v>
      </c>
      <c r="G18" s="38">
        <f>ROUND(SUMIF(Определители!I6:I25,"=1",'Текущие цены с учетом расхода'!C6:C25),2)</f>
        <v>0</v>
      </c>
      <c r="H18" s="38">
        <f>ROUND(SUMIF(Определители!I6:I25,"=1",'Текущие цены с учетом расхода'!D6:D25),2)</f>
        <v>0</v>
      </c>
      <c r="I18" s="38">
        <f>ROUND(SUMIF(Определители!I6:I25,"=1",'Текущие цены с учетом расхода'!E6:E25),2)</f>
        <v>0</v>
      </c>
      <c r="J18" s="45">
        <f>ROUND(SUMIF(Определители!I6:I25,"=1",'Текущие цены с учетом расхода'!I6:I25),8)</f>
        <v>0</v>
      </c>
      <c r="K18" s="45">
        <f>ROUND(SUMIF(Определители!I6:I25,"=1",'Текущие цены с учетом расхода'!K6:K25),8)</f>
        <v>0</v>
      </c>
      <c r="L18" s="38">
        <f>ROUND(SUMIF(Определители!I6:I25,"=1",'Текущие цены с учетом расхода'!F6:F25),2)</f>
        <v>0</v>
      </c>
      <c r="N18" s="41" t="s">
        <v>535</v>
      </c>
    </row>
    <row r="19" spans="1:14" ht="10.5">
      <c r="A19" s="33">
        <v>13</v>
      </c>
      <c r="B19" s="5" t="s">
        <v>238</v>
      </c>
      <c r="C19" s="41" t="s">
        <v>525</v>
      </c>
      <c r="D19" s="44">
        <v>0</v>
      </c>
      <c r="F19" s="38"/>
      <c r="G19" s="38"/>
      <c r="H19" s="38"/>
      <c r="I19" s="38"/>
      <c r="J19" s="45"/>
      <c r="K19" s="45"/>
      <c r="L19" s="38"/>
      <c r="N19" s="41" t="s">
        <v>536</v>
      </c>
    </row>
    <row r="20" spans="1:14" ht="10.5">
      <c r="A20" s="33">
        <v>14</v>
      </c>
      <c r="B20" s="5" t="s">
        <v>239</v>
      </c>
      <c r="C20" s="41" t="s">
        <v>525</v>
      </c>
      <c r="D20" s="44">
        <v>0</v>
      </c>
      <c r="F20" s="38"/>
      <c r="G20" s="38">
        <f>ROUND(SUMIF(Определители!I6:I25,"=1",'Текущие цены с учетом расхода'!U6:U25),2)</f>
        <v>0</v>
      </c>
      <c r="H20" s="38"/>
      <c r="I20" s="38"/>
      <c r="J20" s="45"/>
      <c r="K20" s="45"/>
      <c r="L20" s="38"/>
      <c r="N20" s="41" t="s">
        <v>537</v>
      </c>
    </row>
    <row r="21" spans="1:14" ht="10.5">
      <c r="A21" s="33">
        <v>15</v>
      </c>
      <c r="B21" s="5" t="s">
        <v>240</v>
      </c>
      <c r="C21" s="41" t="s">
        <v>525</v>
      </c>
      <c r="D21" s="44">
        <v>0</v>
      </c>
      <c r="F21" s="38">
        <f>ROUND(SUMIF(Определители!I6:I25,"=1",'Текущие цены с учетом расхода'!V6:V25),2)</f>
        <v>0</v>
      </c>
      <c r="G21" s="38"/>
      <c r="H21" s="38"/>
      <c r="I21" s="38"/>
      <c r="J21" s="45"/>
      <c r="K21" s="45"/>
      <c r="L21" s="38"/>
      <c r="N21" s="41" t="s">
        <v>538</v>
      </c>
    </row>
    <row r="22" spans="1:14" ht="10.5">
      <c r="A22" s="33">
        <v>16</v>
      </c>
      <c r="B22" s="5" t="s">
        <v>241</v>
      </c>
      <c r="C22" s="41" t="s">
        <v>525</v>
      </c>
      <c r="D22" s="44">
        <v>0</v>
      </c>
      <c r="F22" s="38">
        <f>ROUND(СУММЕСЛИ2(Определители!I6:I25,"1",Определители!G6:G25,"1",'Текущие цены с учетом расхода'!B6:B25),2)</f>
        <v>0</v>
      </c>
      <c r="G22" s="38"/>
      <c r="H22" s="38"/>
      <c r="I22" s="38"/>
      <c r="J22" s="45"/>
      <c r="K22" s="45"/>
      <c r="L22" s="38"/>
      <c r="N22" s="41" t="s">
        <v>539</v>
      </c>
    </row>
    <row r="23" spans="1:14" ht="10.5">
      <c r="A23" s="33">
        <v>17</v>
      </c>
      <c r="B23" s="5" t="s">
        <v>242</v>
      </c>
      <c r="C23" s="41" t="s">
        <v>525</v>
      </c>
      <c r="D23" s="44">
        <v>0</v>
      </c>
      <c r="F23" s="38">
        <f>ROUND(SUMIF(Определители!I6:I25,"=1",'Текущие цены с учетом расхода'!H6:H25),2)</f>
        <v>0</v>
      </c>
      <c r="G23" s="38"/>
      <c r="H23" s="38"/>
      <c r="I23" s="38"/>
      <c r="J23" s="45"/>
      <c r="K23" s="45"/>
      <c r="L23" s="38"/>
      <c r="N23" s="41" t="s">
        <v>540</v>
      </c>
    </row>
    <row r="24" spans="1:14" ht="10.5">
      <c r="A24" s="33">
        <v>18</v>
      </c>
      <c r="B24" s="5" t="s">
        <v>243</v>
      </c>
      <c r="C24" s="41" t="s">
        <v>525</v>
      </c>
      <c r="D24" s="44">
        <v>0</v>
      </c>
      <c r="F24" s="38">
        <f>ROUND(SUMIF(Определители!I6:I25,"=1",'Текущие цены с учетом расхода'!N6:N25),2)</f>
        <v>0</v>
      </c>
      <c r="G24" s="38"/>
      <c r="H24" s="38"/>
      <c r="I24" s="38"/>
      <c r="J24" s="45"/>
      <c r="K24" s="45"/>
      <c r="L24" s="38"/>
      <c r="N24" s="41" t="s">
        <v>541</v>
      </c>
    </row>
    <row r="25" spans="1:14" ht="10.5">
      <c r="A25" s="33">
        <v>19</v>
      </c>
      <c r="B25" s="5" t="s">
        <v>244</v>
      </c>
      <c r="C25" s="41" t="s">
        <v>542</v>
      </c>
      <c r="D25" s="44">
        <v>0.94</v>
      </c>
      <c r="F25" s="38">
        <f>ROUND((F24)*D25,2)</f>
        <v>0</v>
      </c>
      <c r="G25" s="38"/>
      <c r="H25" s="38"/>
      <c r="I25" s="38"/>
      <c r="J25" s="45"/>
      <c r="K25" s="45"/>
      <c r="L25" s="38"/>
      <c r="N25" s="41" t="s">
        <v>543</v>
      </c>
    </row>
    <row r="26" spans="1:14" ht="10.5">
      <c r="A26" s="33">
        <v>20</v>
      </c>
      <c r="B26" s="5" t="s">
        <v>245</v>
      </c>
      <c r="C26" s="41" t="s">
        <v>525</v>
      </c>
      <c r="D26" s="44">
        <v>0</v>
      </c>
      <c r="F26" s="38">
        <f>ROUND(SUMIF(Определители!I6:I25,"=1",'Текущие цены с учетом расхода'!O6:O25),2)</f>
        <v>0</v>
      </c>
      <c r="G26" s="38"/>
      <c r="H26" s="38"/>
      <c r="I26" s="38"/>
      <c r="J26" s="45"/>
      <c r="K26" s="45"/>
      <c r="L26" s="38"/>
      <c r="N26" s="41" t="s">
        <v>544</v>
      </c>
    </row>
    <row r="27" spans="1:14" ht="10.5">
      <c r="A27" s="33">
        <v>21</v>
      </c>
      <c r="B27" s="5" t="s">
        <v>235</v>
      </c>
      <c r="C27" s="41" t="s">
        <v>525</v>
      </c>
      <c r="D27" s="44">
        <v>0</v>
      </c>
      <c r="F27" s="38">
        <f>ROUND(СУММПРОИЗВЕСЛИ(1,Определители!I6:I25," ",'Текущие цены с учетом расхода'!M6:M25,Начисления!I6:I25,0),2)</f>
        <v>0</v>
      </c>
      <c r="G27" s="38"/>
      <c r="H27" s="38"/>
      <c r="I27" s="38"/>
      <c r="J27" s="45"/>
      <c r="K27" s="45"/>
      <c r="L27" s="38"/>
      <c r="N27" s="41" t="s">
        <v>545</v>
      </c>
    </row>
    <row r="28" spans="1:14" ht="10.5">
      <c r="A28" s="33">
        <v>22</v>
      </c>
      <c r="B28" s="5" t="s">
        <v>246</v>
      </c>
      <c r="C28" s="41" t="s">
        <v>532</v>
      </c>
      <c r="D28" s="44">
        <v>0</v>
      </c>
      <c r="F28" s="38">
        <f>ROUND((F18+F24+F26),2)</f>
        <v>0</v>
      </c>
      <c r="G28" s="38"/>
      <c r="H28" s="38"/>
      <c r="I28" s="38"/>
      <c r="J28" s="45"/>
      <c r="K28" s="45"/>
      <c r="L28" s="38"/>
      <c r="N28" s="41" t="s">
        <v>546</v>
      </c>
    </row>
    <row r="29" spans="1:14" ht="10.5">
      <c r="A29" s="33">
        <v>23</v>
      </c>
      <c r="B29" s="5" t="s">
        <v>247</v>
      </c>
      <c r="C29" s="41" t="s">
        <v>38</v>
      </c>
      <c r="D29" s="44">
        <v>0</v>
      </c>
      <c r="F29" s="38">
        <f>ROUND((F18+F25+F26),2)</f>
        <v>0</v>
      </c>
      <c r="G29" s="38"/>
      <c r="H29" s="38"/>
      <c r="I29" s="38"/>
      <c r="J29" s="45"/>
      <c r="K29" s="45"/>
      <c r="L29" s="38"/>
      <c r="N29" s="41" t="s">
        <v>547</v>
      </c>
    </row>
    <row r="30" spans="1:14" ht="10.5">
      <c r="A30" s="33">
        <v>24</v>
      </c>
      <c r="B30" s="5" t="s">
        <v>248</v>
      </c>
      <c r="C30" s="41" t="s">
        <v>525</v>
      </c>
      <c r="D30" s="44">
        <v>0</v>
      </c>
      <c r="F30" s="38">
        <f>ROUND(SUMIF(Определители!I6:I25,"=2",'Текущие цены с учетом расхода'!B6:B25),2)</f>
        <v>157715.8</v>
      </c>
      <c r="G30" s="38">
        <f>ROUND(SUMIF(Определители!I6:I25,"=2",'Текущие цены с учетом расхода'!C6:C25),2)</f>
        <v>43493.76</v>
      </c>
      <c r="H30" s="38">
        <f>ROUND(SUMIF(Определители!I6:I25,"=2",'Текущие цены с учетом расхода'!D6:D25),2)</f>
        <v>50121.08</v>
      </c>
      <c r="I30" s="38">
        <f>ROUND(SUMIF(Определители!I6:I25,"=2",'Текущие цены с учетом расхода'!E6:E25),2)</f>
        <v>14947.5</v>
      </c>
      <c r="J30" s="45">
        <f>ROUND(SUMIF(Определители!I6:I25,"=2",'Текущие цены с учетом расхода'!I6:I25),8)</f>
        <v>489.4669</v>
      </c>
      <c r="K30" s="45">
        <f>ROUND(SUMIF(Определители!I6:I25,"=2",'Текущие цены с учетом расхода'!K6:K25),8)</f>
        <v>124.774428</v>
      </c>
      <c r="L30" s="38">
        <f>ROUND(SUMIF(Определители!I6:I25,"=2",'Текущие цены с учетом расхода'!F6:F25),2)</f>
        <v>64100.93</v>
      </c>
      <c r="N30" s="41" t="s">
        <v>548</v>
      </c>
    </row>
    <row r="31" spans="1:14" ht="10.5">
      <c r="A31" s="33">
        <v>25</v>
      </c>
      <c r="B31" s="5" t="s">
        <v>238</v>
      </c>
      <c r="C31" s="41" t="s">
        <v>525</v>
      </c>
      <c r="D31" s="44">
        <v>0</v>
      </c>
      <c r="F31" s="38"/>
      <c r="G31" s="38"/>
      <c r="H31" s="38"/>
      <c r="I31" s="38"/>
      <c r="J31" s="45"/>
      <c r="K31" s="45"/>
      <c r="L31" s="38"/>
      <c r="N31" s="41" t="s">
        <v>549</v>
      </c>
    </row>
    <row r="32" spans="1:14" ht="10.5">
      <c r="A32" s="33">
        <v>26</v>
      </c>
      <c r="B32" s="5" t="s">
        <v>249</v>
      </c>
      <c r="C32" s="41" t="s">
        <v>525</v>
      </c>
      <c r="D32" s="44">
        <v>0</v>
      </c>
      <c r="F32" s="38">
        <f>ROUND(СУММЕСЛИ2(Определители!I6:I25,"2",Определители!G6:G25,"1",'Текущие цены с учетом расхода'!B6:B25),2)</f>
        <v>0</v>
      </c>
      <c r="G32" s="38"/>
      <c r="H32" s="38"/>
      <c r="I32" s="38"/>
      <c r="J32" s="45"/>
      <c r="K32" s="45"/>
      <c r="L32" s="38"/>
      <c r="N32" s="41" t="s">
        <v>550</v>
      </c>
    </row>
    <row r="33" spans="1:14" ht="10.5">
      <c r="A33" s="33">
        <v>27</v>
      </c>
      <c r="B33" s="5" t="s">
        <v>242</v>
      </c>
      <c r="C33" s="41" t="s">
        <v>525</v>
      </c>
      <c r="D33" s="44">
        <v>0</v>
      </c>
      <c r="F33" s="38">
        <f>ROUND(SUMIF(Определители!I6:I25,"=2",'Текущие цены с учетом расхода'!H6:H25),2)</f>
        <v>0</v>
      </c>
      <c r="G33" s="38"/>
      <c r="H33" s="38"/>
      <c r="I33" s="38"/>
      <c r="J33" s="45"/>
      <c r="K33" s="45"/>
      <c r="L33" s="38"/>
      <c r="N33" s="41" t="s">
        <v>551</v>
      </c>
    </row>
    <row r="34" spans="1:14" ht="10.5">
      <c r="A34" s="33">
        <v>28</v>
      </c>
      <c r="B34" s="5" t="s">
        <v>243</v>
      </c>
      <c r="C34" s="41" t="s">
        <v>525</v>
      </c>
      <c r="D34" s="44">
        <v>0</v>
      </c>
      <c r="F34" s="38">
        <f>ROUND(SUMIF(Определители!I6:I25,"=2",'Текущие цены с учетом расхода'!N6:N25),2)</f>
        <v>53982.79</v>
      </c>
      <c r="G34" s="38"/>
      <c r="H34" s="38"/>
      <c r="I34" s="38"/>
      <c r="J34" s="45"/>
      <c r="K34" s="45"/>
      <c r="L34" s="38"/>
      <c r="N34" s="41" t="s">
        <v>552</v>
      </c>
    </row>
    <row r="35" spans="1:14" ht="10.5">
      <c r="A35" s="33">
        <v>29</v>
      </c>
      <c r="B35" s="5" t="s">
        <v>244</v>
      </c>
      <c r="C35" s="41" t="s">
        <v>542</v>
      </c>
      <c r="D35" s="44">
        <v>0.94</v>
      </c>
      <c r="F35" s="38">
        <f>ROUND((F34)*D35,2)</f>
        <v>50743.82</v>
      </c>
      <c r="G35" s="38"/>
      <c r="H35" s="38"/>
      <c r="I35" s="38"/>
      <c r="J35" s="45"/>
      <c r="K35" s="45"/>
      <c r="L35" s="38"/>
      <c r="N35" s="41" t="s">
        <v>553</v>
      </c>
    </row>
    <row r="36" spans="1:14" ht="10.5">
      <c r="A36" s="33">
        <v>30</v>
      </c>
      <c r="B36" s="5" t="s">
        <v>245</v>
      </c>
      <c r="C36" s="41" t="s">
        <v>525</v>
      </c>
      <c r="D36" s="44">
        <v>0</v>
      </c>
      <c r="F36" s="38">
        <f>ROUND(SUMIF(Определители!I6:I25,"=2",'Текущие цены с учетом расхода'!O6:O25),2)</f>
        <v>31601.72</v>
      </c>
      <c r="G36" s="38"/>
      <c r="H36" s="38"/>
      <c r="I36" s="38"/>
      <c r="J36" s="45"/>
      <c r="K36" s="45"/>
      <c r="L36" s="38"/>
      <c r="N36" s="41" t="s">
        <v>554</v>
      </c>
    </row>
    <row r="37" spans="1:14" ht="10.5">
      <c r="A37" s="33">
        <v>31</v>
      </c>
      <c r="B37" s="5" t="s">
        <v>252</v>
      </c>
      <c r="C37" s="41" t="s">
        <v>532</v>
      </c>
      <c r="D37" s="44">
        <v>0</v>
      </c>
      <c r="F37" s="38">
        <f>ROUND((F30+F34+F36),2)</f>
        <v>243300.31</v>
      </c>
      <c r="G37" s="38"/>
      <c r="H37" s="38"/>
      <c r="I37" s="38"/>
      <c r="J37" s="45"/>
      <c r="K37" s="45"/>
      <c r="L37" s="38"/>
      <c r="N37" s="41" t="s">
        <v>555</v>
      </c>
    </row>
    <row r="38" spans="1:14" ht="10.5">
      <c r="A38" s="33">
        <v>32</v>
      </c>
      <c r="B38" s="5" t="s">
        <v>253</v>
      </c>
      <c r="C38" s="41" t="s">
        <v>38</v>
      </c>
      <c r="D38" s="44">
        <v>0</v>
      </c>
      <c r="F38" s="38">
        <f>ROUND((F30+F35+F36),2)</f>
        <v>240061.34</v>
      </c>
      <c r="G38" s="38"/>
      <c r="H38" s="38"/>
      <c r="I38" s="38"/>
      <c r="J38" s="45"/>
      <c r="K38" s="45"/>
      <c r="L38" s="38"/>
      <c r="N38" s="41" t="s">
        <v>556</v>
      </c>
    </row>
    <row r="39" spans="1:14" ht="10.5">
      <c r="A39" s="33">
        <v>33</v>
      </c>
      <c r="B39" s="5" t="s">
        <v>254</v>
      </c>
      <c r="C39" s="41" t="s">
        <v>525</v>
      </c>
      <c r="D39" s="44">
        <v>0</v>
      </c>
      <c r="F39" s="38">
        <f>ROUND(SUMIF(Определители!I6:I25,"=3",'Текущие цены с учетом расхода'!B6:B25),2)</f>
        <v>0</v>
      </c>
      <c r="G39" s="38">
        <f>ROUND(SUMIF(Определители!I6:I25,"=3",'Текущие цены с учетом расхода'!C6:C25),2)</f>
        <v>0</v>
      </c>
      <c r="H39" s="38">
        <f>ROUND(SUMIF(Определители!I6:I25,"=3",'Текущие цены с учетом расхода'!D6:D25),2)</f>
        <v>0</v>
      </c>
      <c r="I39" s="38">
        <f>ROUND(SUMIF(Определители!I6:I25,"=3",'Текущие цены с учетом расхода'!E6:E25),2)</f>
        <v>0</v>
      </c>
      <c r="J39" s="45">
        <f>ROUND(SUMIF(Определители!I6:I25,"=3",'Текущие цены с учетом расхода'!I6:I25),8)</f>
        <v>0</v>
      </c>
      <c r="K39" s="45">
        <f>ROUND(SUMIF(Определители!I6:I25,"=3",'Текущие цены с учетом расхода'!K6:K25),8)</f>
        <v>0</v>
      </c>
      <c r="L39" s="38">
        <f>ROUND(SUMIF(Определители!I6:I25,"=3",'Текущие цены с учетом расхода'!F6:F25),2)</f>
        <v>0</v>
      </c>
      <c r="N39" s="41" t="s">
        <v>557</v>
      </c>
    </row>
    <row r="40" spans="1:14" ht="10.5">
      <c r="A40" s="33">
        <v>34</v>
      </c>
      <c r="B40" s="5" t="s">
        <v>242</v>
      </c>
      <c r="C40" s="41" t="s">
        <v>525</v>
      </c>
      <c r="D40" s="44">
        <v>0</v>
      </c>
      <c r="F40" s="38">
        <f>ROUND(SUMIF(Определители!I6:I25,"=3",'Текущие цены с учетом расхода'!H6:H25),2)</f>
        <v>0</v>
      </c>
      <c r="G40" s="38"/>
      <c r="H40" s="38"/>
      <c r="I40" s="38"/>
      <c r="J40" s="45"/>
      <c r="K40" s="45"/>
      <c r="L40" s="38"/>
      <c r="N40" s="41" t="s">
        <v>558</v>
      </c>
    </row>
    <row r="41" spans="1:14" ht="10.5">
      <c r="A41" s="33">
        <v>35</v>
      </c>
      <c r="B41" s="5" t="s">
        <v>243</v>
      </c>
      <c r="C41" s="41" t="s">
        <v>525</v>
      </c>
      <c r="D41" s="44">
        <v>0</v>
      </c>
      <c r="F41" s="38">
        <f>ROUND(SUMIF(Определители!I6:I25,"=3",'Текущие цены с учетом расхода'!N6:N25),2)</f>
        <v>0</v>
      </c>
      <c r="G41" s="38"/>
      <c r="H41" s="38"/>
      <c r="I41" s="38"/>
      <c r="J41" s="45"/>
      <c r="K41" s="45"/>
      <c r="L41" s="38"/>
      <c r="N41" s="41" t="s">
        <v>559</v>
      </c>
    </row>
    <row r="42" spans="1:14" ht="10.5">
      <c r="A42" s="33">
        <v>36</v>
      </c>
      <c r="B42" s="5" t="s">
        <v>244</v>
      </c>
      <c r="C42" s="41" t="s">
        <v>542</v>
      </c>
      <c r="D42" s="44">
        <v>0.94</v>
      </c>
      <c r="F42" s="38">
        <f>ROUND((F41)*D42,2)</f>
        <v>0</v>
      </c>
      <c r="G42" s="38"/>
      <c r="H42" s="38"/>
      <c r="I42" s="38"/>
      <c r="J42" s="45"/>
      <c r="K42" s="45"/>
      <c r="L42" s="38"/>
      <c r="N42" s="41" t="s">
        <v>560</v>
      </c>
    </row>
    <row r="43" spans="1:14" ht="10.5">
      <c r="A43" s="33">
        <v>37</v>
      </c>
      <c r="B43" s="5" t="s">
        <v>245</v>
      </c>
      <c r="C43" s="41" t="s">
        <v>525</v>
      </c>
      <c r="D43" s="44">
        <v>0</v>
      </c>
      <c r="F43" s="38">
        <f>ROUND(SUMIF(Определители!I6:I25,"=3",'Текущие цены с учетом расхода'!O6:O25),2)</f>
        <v>0</v>
      </c>
      <c r="G43" s="38"/>
      <c r="H43" s="38"/>
      <c r="I43" s="38"/>
      <c r="J43" s="45"/>
      <c r="K43" s="45"/>
      <c r="L43" s="38"/>
      <c r="N43" s="41" t="s">
        <v>561</v>
      </c>
    </row>
    <row r="44" spans="1:14" ht="10.5">
      <c r="A44" s="33">
        <v>38</v>
      </c>
      <c r="B44" s="5" t="s">
        <v>255</v>
      </c>
      <c r="C44" s="41" t="s">
        <v>532</v>
      </c>
      <c r="D44" s="44">
        <v>0</v>
      </c>
      <c r="F44" s="38">
        <f>ROUND((F39+F41+F43),2)</f>
        <v>0</v>
      </c>
      <c r="G44" s="38"/>
      <c r="H44" s="38"/>
      <c r="I44" s="38"/>
      <c r="J44" s="45"/>
      <c r="K44" s="45"/>
      <c r="L44" s="38"/>
      <c r="N44" s="41" t="s">
        <v>562</v>
      </c>
    </row>
    <row r="45" spans="1:14" ht="10.5">
      <c r="A45" s="33">
        <v>39</v>
      </c>
      <c r="B45" s="5" t="s">
        <v>256</v>
      </c>
      <c r="C45" s="41" t="s">
        <v>38</v>
      </c>
      <c r="D45" s="44">
        <v>0</v>
      </c>
      <c r="F45" s="38">
        <f>ROUND((F39+F42+F43),2)</f>
        <v>0</v>
      </c>
      <c r="G45" s="38"/>
      <c r="H45" s="38"/>
      <c r="I45" s="38"/>
      <c r="J45" s="45"/>
      <c r="K45" s="45"/>
      <c r="L45" s="38"/>
      <c r="N45" s="41" t="s">
        <v>563</v>
      </c>
    </row>
    <row r="46" spans="1:14" ht="10.5">
      <c r="A46" s="33">
        <v>40</v>
      </c>
      <c r="B46" s="5" t="s">
        <v>257</v>
      </c>
      <c r="C46" s="41" t="s">
        <v>525</v>
      </c>
      <c r="D46" s="44">
        <v>0</v>
      </c>
      <c r="F46" s="38">
        <f>ROUND(SUMIF(Определители!I6:I25,"=4",'Текущие цены с учетом расхода'!B6:B25),2)</f>
        <v>2491.31</v>
      </c>
      <c r="G46" s="38">
        <f>ROUND(SUMIF(Определители!I6:I25,"=4",'Текущие цены с учетом расхода'!C6:C25),2)</f>
        <v>1506.11</v>
      </c>
      <c r="H46" s="38">
        <f>ROUND(SUMIF(Определители!I6:I25,"=4",'Текущие цены с учетом расхода'!D6:D25),2)</f>
        <v>61.67</v>
      </c>
      <c r="I46" s="38">
        <f>ROUND(SUMIF(Определители!I6:I25,"=4",'Текущие цены с учетом расхода'!E6:E25),2)</f>
        <v>3.4</v>
      </c>
      <c r="J46" s="45">
        <f>ROUND(SUMIF(Определители!I6:I25,"=4",'Текущие цены с учетом расхода'!I6:I25),8)</f>
        <v>14.789</v>
      </c>
      <c r="K46" s="45">
        <f>ROUND(SUMIF(Определители!I6:I25,"=4",'Текущие цены с учетом расхода'!K6:K25),8)</f>
        <v>0.046</v>
      </c>
      <c r="L46" s="38">
        <f>ROUND(SUMIF(Определители!I6:I25,"=4",'Текущие цены с учетом расхода'!F6:F25),2)</f>
        <v>923.53</v>
      </c>
      <c r="N46" s="41" t="s">
        <v>564</v>
      </c>
    </row>
    <row r="47" spans="1:14" ht="10.5">
      <c r="A47" s="33">
        <v>41</v>
      </c>
      <c r="B47" s="5" t="s">
        <v>238</v>
      </c>
      <c r="C47" s="41" t="s">
        <v>525</v>
      </c>
      <c r="D47" s="44">
        <v>0</v>
      </c>
      <c r="F47" s="38"/>
      <c r="G47" s="38"/>
      <c r="H47" s="38"/>
      <c r="I47" s="38"/>
      <c r="J47" s="45"/>
      <c r="K47" s="45"/>
      <c r="L47" s="38"/>
      <c r="N47" s="41" t="s">
        <v>565</v>
      </c>
    </row>
    <row r="48" spans="1:14" ht="10.5">
      <c r="A48" s="33">
        <v>42</v>
      </c>
      <c r="B48" s="5" t="s">
        <v>258</v>
      </c>
      <c r="C48" s="41" t="s">
        <v>525</v>
      </c>
      <c r="D48" s="44">
        <v>0</v>
      </c>
      <c r="F48" s="38"/>
      <c r="G48" s="38"/>
      <c r="H48" s="38"/>
      <c r="I48" s="38"/>
      <c r="J48" s="45"/>
      <c r="K48" s="45"/>
      <c r="L48" s="38"/>
      <c r="N48" s="41" t="s">
        <v>566</v>
      </c>
    </row>
    <row r="49" spans="1:14" ht="10.5">
      <c r="A49" s="33">
        <v>43</v>
      </c>
      <c r="B49" s="5" t="s">
        <v>242</v>
      </c>
      <c r="C49" s="41" t="s">
        <v>525</v>
      </c>
      <c r="D49" s="44">
        <v>0</v>
      </c>
      <c r="F49" s="38">
        <f>ROUND(SUMIF(Определители!I6:I25,"=4",'Текущие цены с учетом расхода'!H6:H25),2)</f>
        <v>0</v>
      </c>
      <c r="G49" s="38"/>
      <c r="H49" s="38"/>
      <c r="I49" s="38"/>
      <c r="J49" s="45"/>
      <c r="K49" s="45"/>
      <c r="L49" s="38"/>
      <c r="N49" s="41" t="s">
        <v>567</v>
      </c>
    </row>
    <row r="50" spans="1:14" ht="10.5">
      <c r="A50" s="33">
        <v>44</v>
      </c>
      <c r="B50" s="5" t="s">
        <v>243</v>
      </c>
      <c r="C50" s="41" t="s">
        <v>525</v>
      </c>
      <c r="D50" s="44">
        <v>0</v>
      </c>
      <c r="F50" s="38">
        <f>ROUND(SUMIF(Определители!I6:I25,"=4",'Текущие цены с учетом расхода'!N6:N25),2)</f>
        <v>1738.96</v>
      </c>
      <c r="G50" s="38"/>
      <c r="H50" s="38"/>
      <c r="I50" s="38"/>
      <c r="J50" s="45"/>
      <c r="K50" s="45"/>
      <c r="L50" s="38"/>
      <c r="N50" s="41" t="s">
        <v>568</v>
      </c>
    </row>
    <row r="51" spans="1:14" ht="10.5">
      <c r="A51" s="33">
        <v>45</v>
      </c>
      <c r="B51" s="5" t="s">
        <v>244</v>
      </c>
      <c r="C51" s="41" t="s">
        <v>542</v>
      </c>
      <c r="D51" s="44">
        <v>0.94</v>
      </c>
      <c r="F51" s="38">
        <f>ROUND((F50)*D51,2)</f>
        <v>1634.62</v>
      </c>
      <c r="G51" s="38"/>
      <c r="H51" s="38"/>
      <c r="I51" s="38"/>
      <c r="J51" s="45"/>
      <c r="K51" s="45"/>
      <c r="L51" s="38"/>
      <c r="N51" s="41" t="s">
        <v>569</v>
      </c>
    </row>
    <row r="52" spans="1:14" ht="10.5">
      <c r="A52" s="33">
        <v>46</v>
      </c>
      <c r="B52" s="5" t="s">
        <v>245</v>
      </c>
      <c r="C52" s="41" t="s">
        <v>525</v>
      </c>
      <c r="D52" s="44">
        <v>0</v>
      </c>
      <c r="F52" s="38">
        <f>ROUND(SUMIF(Определители!I6:I25,"=4",'Текущие цены с учетом расхода'!O6:O25),2)</f>
        <v>1064.96</v>
      </c>
      <c r="G52" s="38"/>
      <c r="H52" s="38"/>
      <c r="I52" s="38"/>
      <c r="J52" s="45"/>
      <c r="K52" s="45"/>
      <c r="L52" s="38"/>
      <c r="N52" s="41" t="s">
        <v>570</v>
      </c>
    </row>
    <row r="53" spans="1:14" ht="10.5">
      <c r="A53" s="33">
        <v>47</v>
      </c>
      <c r="B53" s="5" t="s">
        <v>235</v>
      </c>
      <c r="C53" s="41" t="s">
        <v>525</v>
      </c>
      <c r="D53" s="44">
        <v>0</v>
      </c>
      <c r="F53" s="38">
        <f>ROUND(СУММПРОИЗВЕСЛИ(1,Определители!I6:I25," ",'Текущие цены с учетом расхода'!M6:M25,Начисления!I6:I25,0),2)</f>
        <v>0</v>
      </c>
      <c r="G53" s="38"/>
      <c r="H53" s="38"/>
      <c r="I53" s="38"/>
      <c r="J53" s="45"/>
      <c r="K53" s="45"/>
      <c r="L53" s="38"/>
      <c r="N53" s="41" t="s">
        <v>571</v>
      </c>
    </row>
    <row r="54" spans="1:14" ht="10.5">
      <c r="A54" s="33">
        <v>48</v>
      </c>
      <c r="B54" s="5" t="s">
        <v>261</v>
      </c>
      <c r="C54" s="41" t="s">
        <v>532</v>
      </c>
      <c r="D54" s="44">
        <v>0</v>
      </c>
      <c r="F54" s="38">
        <f>ROUND((F46+F50+F52),2)</f>
        <v>5295.23</v>
      </c>
      <c r="G54" s="38"/>
      <c r="H54" s="38"/>
      <c r="I54" s="38"/>
      <c r="J54" s="45"/>
      <c r="K54" s="45"/>
      <c r="L54" s="38"/>
      <c r="N54" s="41" t="s">
        <v>572</v>
      </c>
    </row>
    <row r="55" spans="1:14" ht="10.5">
      <c r="A55" s="33">
        <v>49</v>
      </c>
      <c r="B55" s="5" t="s">
        <v>262</v>
      </c>
      <c r="C55" s="41" t="s">
        <v>38</v>
      </c>
      <c r="D55" s="44">
        <v>0</v>
      </c>
      <c r="F55" s="38">
        <f>ROUND((F46+F51+F52),2)</f>
        <v>5190.89</v>
      </c>
      <c r="G55" s="38"/>
      <c r="H55" s="38"/>
      <c r="I55" s="38"/>
      <c r="J55" s="45"/>
      <c r="K55" s="45"/>
      <c r="L55" s="38"/>
      <c r="N55" s="41" t="s">
        <v>573</v>
      </c>
    </row>
    <row r="56" spans="1:14" ht="10.5">
      <c r="A56" s="33">
        <v>50</v>
      </c>
      <c r="B56" s="5" t="s">
        <v>263</v>
      </c>
      <c r="C56" s="41" t="s">
        <v>525</v>
      </c>
      <c r="D56" s="44">
        <v>0</v>
      </c>
      <c r="F56" s="38">
        <f>ROUND(SUMIF(Определители!I6:I25,"=5",'Текущие цены с учетом расхода'!B6:B25),2)</f>
        <v>0</v>
      </c>
      <c r="G56" s="38">
        <f>ROUND(SUMIF(Определители!I6:I25,"=5",'Текущие цены с учетом расхода'!C6:C25),2)</f>
        <v>0</v>
      </c>
      <c r="H56" s="38">
        <f>ROUND(SUMIF(Определители!I6:I25,"=5",'Текущие цены с учетом расхода'!D6:D25),2)</f>
        <v>0</v>
      </c>
      <c r="I56" s="38">
        <f>ROUND(SUMIF(Определители!I6:I25,"=5",'Текущие цены с учетом расхода'!E6:E25),2)</f>
        <v>0</v>
      </c>
      <c r="J56" s="45">
        <f>ROUND(SUMIF(Определители!I6:I25,"=5",'Текущие цены с учетом расхода'!I6:I25),8)</f>
        <v>0</v>
      </c>
      <c r="K56" s="45">
        <f>ROUND(SUMIF(Определители!I6:I25,"=5",'Текущие цены с учетом расхода'!K6:K25),8)</f>
        <v>0</v>
      </c>
      <c r="L56" s="38">
        <f>ROUND(SUMIF(Определители!I6:I25,"=5",'Текущие цены с учетом расхода'!F6:F25),2)</f>
        <v>0</v>
      </c>
      <c r="N56" s="41" t="s">
        <v>574</v>
      </c>
    </row>
    <row r="57" spans="1:14" ht="10.5">
      <c r="A57" s="33">
        <v>51</v>
      </c>
      <c r="B57" s="5" t="s">
        <v>242</v>
      </c>
      <c r="C57" s="41" t="s">
        <v>525</v>
      </c>
      <c r="D57" s="44">
        <v>0</v>
      </c>
      <c r="F57" s="38">
        <f>ROUND(SUMIF(Определители!I6:I25,"=5",'Текущие цены с учетом расхода'!H6:H25),2)</f>
        <v>0</v>
      </c>
      <c r="G57" s="38"/>
      <c r="H57" s="38"/>
      <c r="I57" s="38"/>
      <c r="J57" s="45"/>
      <c r="K57" s="45"/>
      <c r="L57" s="38"/>
      <c r="N57" s="41" t="s">
        <v>575</v>
      </c>
    </row>
    <row r="58" spans="1:14" ht="10.5">
      <c r="A58" s="33">
        <v>52</v>
      </c>
      <c r="B58" s="5" t="s">
        <v>243</v>
      </c>
      <c r="C58" s="41" t="s">
        <v>525</v>
      </c>
      <c r="D58" s="44">
        <v>0</v>
      </c>
      <c r="F58" s="38">
        <f>ROUND(SUMIF(Определители!I6:I25,"=5",'Текущие цены с учетом расхода'!N6:N25),2)</f>
        <v>0</v>
      </c>
      <c r="G58" s="38"/>
      <c r="H58" s="38"/>
      <c r="I58" s="38"/>
      <c r="J58" s="45"/>
      <c r="K58" s="45"/>
      <c r="L58" s="38"/>
      <c r="N58" s="41" t="s">
        <v>576</v>
      </c>
    </row>
    <row r="59" spans="1:14" ht="10.5">
      <c r="A59" s="33">
        <v>53</v>
      </c>
      <c r="B59" s="5" t="s">
        <v>244</v>
      </c>
      <c r="C59" s="41" t="s">
        <v>542</v>
      </c>
      <c r="D59" s="44">
        <v>0.94</v>
      </c>
      <c r="F59" s="38">
        <f>ROUND((F58)*D59,2)</f>
        <v>0</v>
      </c>
      <c r="G59" s="38"/>
      <c r="H59" s="38"/>
      <c r="I59" s="38"/>
      <c r="J59" s="45"/>
      <c r="K59" s="45"/>
      <c r="L59" s="38"/>
      <c r="N59" s="41" t="s">
        <v>577</v>
      </c>
    </row>
    <row r="60" spans="1:14" ht="10.5">
      <c r="A60" s="33">
        <v>54</v>
      </c>
      <c r="B60" s="5" t="s">
        <v>245</v>
      </c>
      <c r="C60" s="41" t="s">
        <v>525</v>
      </c>
      <c r="D60" s="44">
        <v>0</v>
      </c>
      <c r="F60" s="38">
        <f>ROUND(SUMIF(Определители!I6:I25,"=5",'Текущие цены с учетом расхода'!O6:O25),2)</f>
        <v>0</v>
      </c>
      <c r="G60" s="38"/>
      <c r="H60" s="38"/>
      <c r="I60" s="38"/>
      <c r="J60" s="45"/>
      <c r="K60" s="45"/>
      <c r="L60" s="38"/>
      <c r="N60" s="41" t="s">
        <v>578</v>
      </c>
    </row>
    <row r="61" spans="1:14" ht="10.5">
      <c r="A61" s="33">
        <v>55</v>
      </c>
      <c r="B61" s="5" t="s">
        <v>264</v>
      </c>
      <c r="C61" s="41" t="s">
        <v>532</v>
      </c>
      <c r="D61" s="44">
        <v>0</v>
      </c>
      <c r="F61" s="38">
        <f>ROUND((F56+F58+F60),2)</f>
        <v>0</v>
      </c>
      <c r="G61" s="38"/>
      <c r="H61" s="38"/>
      <c r="I61" s="38"/>
      <c r="J61" s="45"/>
      <c r="K61" s="45"/>
      <c r="L61" s="38"/>
      <c r="N61" s="41" t="s">
        <v>579</v>
      </c>
    </row>
    <row r="62" spans="1:14" ht="10.5">
      <c r="A62" s="33">
        <v>56</v>
      </c>
      <c r="B62" s="5" t="s">
        <v>265</v>
      </c>
      <c r="C62" s="41" t="s">
        <v>38</v>
      </c>
      <c r="D62" s="44">
        <v>0</v>
      </c>
      <c r="F62" s="38">
        <f>ROUND((F56+F59+F60),2)</f>
        <v>0</v>
      </c>
      <c r="G62" s="38"/>
      <c r="H62" s="38"/>
      <c r="I62" s="38"/>
      <c r="J62" s="45"/>
      <c r="K62" s="45"/>
      <c r="L62" s="38"/>
      <c r="N62" s="41" t="s">
        <v>580</v>
      </c>
    </row>
    <row r="63" spans="1:14" ht="10.5">
      <c r="A63" s="33">
        <v>57</v>
      </c>
      <c r="B63" s="5" t="s">
        <v>266</v>
      </c>
      <c r="C63" s="41" t="s">
        <v>525</v>
      </c>
      <c r="D63" s="44">
        <v>0</v>
      </c>
      <c r="F63" s="38">
        <f>ROUND(SUMIF(Определители!I6:I25,"=6",'Текущие цены с учетом расхода'!B6:B25),2)</f>
        <v>0</v>
      </c>
      <c r="G63" s="38">
        <f>ROUND(SUMIF(Определители!I6:I25,"=6",'Текущие цены с учетом расхода'!C6:C25),2)</f>
        <v>0</v>
      </c>
      <c r="H63" s="38">
        <f>ROUND(SUMIF(Определители!I6:I25,"=6",'Текущие цены с учетом расхода'!D6:D25),2)</f>
        <v>0</v>
      </c>
      <c r="I63" s="38">
        <f>ROUND(SUMIF(Определители!I6:I25,"=6",'Текущие цены с учетом расхода'!E6:E25),2)</f>
        <v>0</v>
      </c>
      <c r="J63" s="45">
        <f>ROUND(SUMIF(Определители!I6:I25,"=6",'Текущие цены с учетом расхода'!I6:I25),8)</f>
        <v>0</v>
      </c>
      <c r="K63" s="45">
        <f>ROUND(SUMIF(Определители!I6:I25,"=6",'Текущие цены с учетом расхода'!K6:K25),8)</f>
        <v>0</v>
      </c>
      <c r="L63" s="38">
        <f>ROUND(SUMIF(Определители!I6:I25,"=6",'Текущие цены с учетом расхода'!F6:F25),2)</f>
        <v>0</v>
      </c>
      <c r="N63" s="41" t="s">
        <v>581</v>
      </c>
    </row>
    <row r="64" spans="1:14" ht="10.5">
      <c r="A64" s="33">
        <v>58</v>
      </c>
      <c r="B64" s="5" t="s">
        <v>242</v>
      </c>
      <c r="C64" s="41" t="s">
        <v>525</v>
      </c>
      <c r="D64" s="44">
        <v>0</v>
      </c>
      <c r="F64" s="38">
        <f>ROUND(SUMIF(Определители!I6:I25,"=6",'Текущие цены с учетом расхода'!H6:H25),2)</f>
        <v>0</v>
      </c>
      <c r="G64" s="38"/>
      <c r="H64" s="38"/>
      <c r="I64" s="38"/>
      <c r="J64" s="45"/>
      <c r="K64" s="45"/>
      <c r="L64" s="38"/>
      <c r="N64" s="41" t="s">
        <v>582</v>
      </c>
    </row>
    <row r="65" spans="1:14" ht="10.5">
      <c r="A65" s="33">
        <v>59</v>
      </c>
      <c r="B65" s="5" t="s">
        <v>243</v>
      </c>
      <c r="C65" s="41" t="s">
        <v>525</v>
      </c>
      <c r="D65" s="44">
        <v>0</v>
      </c>
      <c r="F65" s="38">
        <f>ROUND(SUMIF(Определители!I6:I25,"=6",'Текущие цены с учетом расхода'!N6:N25),2)</f>
        <v>0</v>
      </c>
      <c r="G65" s="38"/>
      <c r="H65" s="38"/>
      <c r="I65" s="38"/>
      <c r="J65" s="45"/>
      <c r="K65" s="45"/>
      <c r="L65" s="38"/>
      <c r="N65" s="41" t="s">
        <v>583</v>
      </c>
    </row>
    <row r="66" spans="1:14" ht="10.5">
      <c r="A66" s="33">
        <v>60</v>
      </c>
      <c r="B66" s="5" t="s">
        <v>244</v>
      </c>
      <c r="C66" s="41" t="s">
        <v>542</v>
      </c>
      <c r="D66" s="44">
        <v>0.94</v>
      </c>
      <c r="F66" s="38">
        <f>ROUND((F65)*D66,2)</f>
        <v>0</v>
      </c>
      <c r="G66" s="38"/>
      <c r="H66" s="38"/>
      <c r="I66" s="38"/>
      <c r="J66" s="45"/>
      <c r="K66" s="45"/>
      <c r="L66" s="38"/>
      <c r="N66" s="41" t="s">
        <v>584</v>
      </c>
    </row>
    <row r="67" spans="1:14" ht="10.5">
      <c r="A67" s="33">
        <v>61</v>
      </c>
      <c r="B67" s="5" t="s">
        <v>245</v>
      </c>
      <c r="C67" s="41" t="s">
        <v>525</v>
      </c>
      <c r="D67" s="44">
        <v>0</v>
      </c>
      <c r="F67" s="38">
        <f>ROUND(SUMIF(Определители!I6:I25,"=6",'Текущие цены с учетом расхода'!O6:O25),2)</f>
        <v>0</v>
      </c>
      <c r="G67" s="38"/>
      <c r="H67" s="38"/>
      <c r="I67" s="38"/>
      <c r="J67" s="45"/>
      <c r="K67" s="45"/>
      <c r="L67" s="38"/>
      <c r="N67" s="41" t="s">
        <v>585</v>
      </c>
    </row>
    <row r="68" spans="1:14" ht="10.5">
      <c r="A68" s="33">
        <v>62</v>
      </c>
      <c r="B68" s="5" t="s">
        <v>267</v>
      </c>
      <c r="C68" s="41" t="s">
        <v>532</v>
      </c>
      <c r="D68" s="44">
        <v>0</v>
      </c>
      <c r="F68" s="38">
        <f>ROUND((F63+F65+F67),2)</f>
        <v>0</v>
      </c>
      <c r="G68" s="38"/>
      <c r="H68" s="38"/>
      <c r="I68" s="38"/>
      <c r="J68" s="45"/>
      <c r="K68" s="45"/>
      <c r="L68" s="38"/>
      <c r="N68" s="41" t="s">
        <v>586</v>
      </c>
    </row>
    <row r="69" spans="1:14" ht="10.5">
      <c r="A69" s="33">
        <v>63</v>
      </c>
      <c r="B69" s="5" t="s">
        <v>268</v>
      </c>
      <c r="C69" s="41" t="s">
        <v>38</v>
      </c>
      <c r="D69" s="44">
        <v>0</v>
      </c>
      <c r="F69" s="38">
        <f>ROUND((F63+F66+F67),2)</f>
        <v>0</v>
      </c>
      <c r="G69" s="38"/>
      <c r="H69" s="38"/>
      <c r="I69" s="38"/>
      <c r="J69" s="45"/>
      <c r="K69" s="45"/>
      <c r="L69" s="38"/>
      <c r="N69" s="41" t="s">
        <v>587</v>
      </c>
    </row>
    <row r="70" spans="1:14" ht="10.5">
      <c r="A70" s="33">
        <v>64</v>
      </c>
      <c r="B70" s="5" t="s">
        <v>269</v>
      </c>
      <c r="C70" s="41" t="s">
        <v>525</v>
      </c>
      <c r="D70" s="44">
        <v>0</v>
      </c>
      <c r="F70" s="38">
        <f>ROUND(SUMIF(Определители!I6:I25,"=7",'Текущие цены с учетом расхода'!B6:B25),2)</f>
        <v>0</v>
      </c>
      <c r="G70" s="38">
        <f>ROUND(SUMIF(Определители!I6:I25,"=7",'Текущие цены с учетом расхода'!C6:C25),2)</f>
        <v>0</v>
      </c>
      <c r="H70" s="38">
        <f>ROUND(SUMIF(Определители!I6:I25,"=7",'Текущие цены с учетом расхода'!D6:D25),2)</f>
        <v>0</v>
      </c>
      <c r="I70" s="38">
        <f>ROUND(SUMIF(Определители!I6:I25,"=7",'Текущие цены с учетом расхода'!E6:E25),2)</f>
        <v>0</v>
      </c>
      <c r="J70" s="45">
        <f>ROUND(SUMIF(Определители!I6:I25,"=7",'Текущие цены с учетом расхода'!I6:I25),8)</f>
        <v>0</v>
      </c>
      <c r="K70" s="45">
        <f>ROUND(SUMIF(Определители!I6:I25,"=7",'Текущие цены с учетом расхода'!K6:K25),8)</f>
        <v>0</v>
      </c>
      <c r="L70" s="38">
        <f>ROUND(SUMIF(Определители!I6:I25,"=7",'Текущие цены с учетом расхода'!F6:F25),2)</f>
        <v>0</v>
      </c>
      <c r="N70" s="41" t="s">
        <v>588</v>
      </c>
    </row>
    <row r="71" spans="1:14" ht="10.5">
      <c r="A71" s="33">
        <v>65</v>
      </c>
      <c r="B71" s="5" t="s">
        <v>238</v>
      </c>
      <c r="C71" s="41" t="s">
        <v>525</v>
      </c>
      <c r="D71" s="44">
        <v>0</v>
      </c>
      <c r="F71" s="38"/>
      <c r="G71" s="38"/>
      <c r="H71" s="38"/>
      <c r="I71" s="38"/>
      <c r="J71" s="45"/>
      <c r="K71" s="45"/>
      <c r="L71" s="38"/>
      <c r="N71" s="41" t="s">
        <v>589</v>
      </c>
    </row>
    <row r="72" spans="1:14" ht="10.5">
      <c r="A72" s="33">
        <v>66</v>
      </c>
      <c r="B72" s="5" t="s">
        <v>270</v>
      </c>
      <c r="C72" s="41" t="s">
        <v>525</v>
      </c>
      <c r="D72" s="44">
        <v>0</v>
      </c>
      <c r="F72" s="38">
        <f>ROUND(СУММЕСЛИ2(Определители!I6:I25,"2",Определители!G6:G25,"1",'Текущие цены с учетом расхода'!B6:B25),2)</f>
        <v>0</v>
      </c>
      <c r="G72" s="38"/>
      <c r="H72" s="38"/>
      <c r="I72" s="38"/>
      <c r="J72" s="45"/>
      <c r="K72" s="45"/>
      <c r="L72" s="38"/>
      <c r="N72" s="41" t="s">
        <v>590</v>
      </c>
    </row>
    <row r="73" spans="1:14" ht="10.5">
      <c r="A73" s="33">
        <v>67</v>
      </c>
      <c r="B73" s="5" t="s">
        <v>242</v>
      </c>
      <c r="C73" s="41" t="s">
        <v>525</v>
      </c>
      <c r="D73" s="44">
        <v>0</v>
      </c>
      <c r="F73" s="38">
        <f>ROUND(SUMIF(Определители!I6:I25,"=7",'Текущие цены с учетом расхода'!H6:H25),2)</f>
        <v>0</v>
      </c>
      <c r="G73" s="38"/>
      <c r="H73" s="38"/>
      <c r="I73" s="38"/>
      <c r="J73" s="45"/>
      <c r="K73" s="45"/>
      <c r="L73" s="38"/>
      <c r="N73" s="41" t="s">
        <v>591</v>
      </c>
    </row>
    <row r="74" spans="1:14" ht="10.5">
      <c r="A74" s="33">
        <v>68</v>
      </c>
      <c r="B74" s="5" t="s">
        <v>271</v>
      </c>
      <c r="C74" s="41" t="s">
        <v>525</v>
      </c>
      <c r="D74" s="44">
        <v>0</v>
      </c>
      <c r="F74" s="38">
        <f>ROUND(SUMIF(Определители!I6:I25,"=7",'Текущие цены с учетом расхода'!N6:N25),2)</f>
        <v>0</v>
      </c>
      <c r="G74" s="38"/>
      <c r="H74" s="38"/>
      <c r="I74" s="38"/>
      <c r="J74" s="45"/>
      <c r="K74" s="45"/>
      <c r="L74" s="38"/>
      <c r="N74" s="41" t="s">
        <v>592</v>
      </c>
    </row>
    <row r="75" spans="1:14" ht="10.5">
      <c r="A75" s="33">
        <v>69</v>
      </c>
      <c r="B75" s="5" t="s">
        <v>244</v>
      </c>
      <c r="C75" s="41" t="s">
        <v>542</v>
      </c>
      <c r="D75" s="44">
        <v>0.94</v>
      </c>
      <c r="F75" s="38">
        <f>ROUND((F74)*D75,2)</f>
        <v>0</v>
      </c>
      <c r="G75" s="38"/>
      <c r="H75" s="38"/>
      <c r="I75" s="38"/>
      <c r="J75" s="45"/>
      <c r="K75" s="45"/>
      <c r="L75" s="38"/>
      <c r="N75" s="41" t="s">
        <v>593</v>
      </c>
    </row>
    <row r="76" spans="1:14" ht="10.5">
      <c r="A76" s="33">
        <v>70</v>
      </c>
      <c r="B76" s="5" t="s">
        <v>245</v>
      </c>
      <c r="C76" s="41" t="s">
        <v>525</v>
      </c>
      <c r="D76" s="44">
        <v>0</v>
      </c>
      <c r="F76" s="38">
        <f>ROUND(SUMIF(Определители!I6:I25,"=7",'Текущие цены с учетом расхода'!O6:O25),2)</f>
        <v>0</v>
      </c>
      <c r="G76" s="38"/>
      <c r="H76" s="38"/>
      <c r="I76" s="38"/>
      <c r="J76" s="45"/>
      <c r="K76" s="45"/>
      <c r="L76" s="38"/>
      <c r="N76" s="41" t="s">
        <v>594</v>
      </c>
    </row>
    <row r="77" spans="1:14" ht="10.5">
      <c r="A77" s="33">
        <v>71</v>
      </c>
      <c r="B77" s="5" t="s">
        <v>272</v>
      </c>
      <c r="C77" s="41" t="s">
        <v>532</v>
      </c>
      <c r="D77" s="44">
        <v>0</v>
      </c>
      <c r="F77" s="38">
        <f>ROUND((F70+F74+F76),2)</f>
        <v>0</v>
      </c>
      <c r="G77" s="38"/>
      <c r="H77" s="38"/>
      <c r="I77" s="38"/>
      <c r="J77" s="45"/>
      <c r="K77" s="45"/>
      <c r="L77" s="38"/>
      <c r="N77" s="41" t="s">
        <v>595</v>
      </c>
    </row>
    <row r="78" spans="1:14" ht="10.5">
      <c r="A78" s="33">
        <v>72</v>
      </c>
      <c r="B78" s="5" t="s">
        <v>273</v>
      </c>
      <c r="C78" s="41" t="s">
        <v>38</v>
      </c>
      <c r="D78" s="44">
        <v>0</v>
      </c>
      <c r="F78" s="38">
        <f>ROUND((F70+F75+F76),2)</f>
        <v>0</v>
      </c>
      <c r="G78" s="38"/>
      <c r="H78" s="38"/>
      <c r="I78" s="38"/>
      <c r="J78" s="45"/>
      <c r="K78" s="45"/>
      <c r="L78" s="38"/>
      <c r="N78" s="41" t="s">
        <v>596</v>
      </c>
    </row>
    <row r="79" spans="1:14" ht="10.5">
      <c r="A79" s="33">
        <v>73</v>
      </c>
      <c r="B79" s="5" t="s">
        <v>274</v>
      </c>
      <c r="C79" s="41" t="s">
        <v>525</v>
      </c>
      <c r="D79" s="44">
        <v>0</v>
      </c>
      <c r="F79" s="38">
        <f>ROUND(SUMIF(Определители!I6:I25,"=9",'Текущие цены с учетом расхода'!B6:B25),2)</f>
        <v>0</v>
      </c>
      <c r="G79" s="38">
        <f>ROUND(SUMIF(Определители!I6:I25,"=9",'Текущие цены с учетом расхода'!C6:C25),2)</f>
        <v>0</v>
      </c>
      <c r="H79" s="38">
        <f>ROUND(SUMIF(Определители!I6:I25,"=9",'Текущие цены с учетом расхода'!D6:D25),2)</f>
        <v>0</v>
      </c>
      <c r="I79" s="38">
        <f>ROUND(SUMIF(Определители!I6:I25,"=9",'Текущие цены с учетом расхода'!E6:E25),2)</f>
        <v>0</v>
      </c>
      <c r="J79" s="45">
        <f>ROUND(SUMIF(Определители!I6:I25,"=9",'Текущие цены с учетом расхода'!I6:I25),8)</f>
        <v>0</v>
      </c>
      <c r="K79" s="45">
        <f>ROUND(SUMIF(Определители!I6:I25,"=9",'Текущие цены с учетом расхода'!K6:K25),8)</f>
        <v>0</v>
      </c>
      <c r="L79" s="38">
        <f>ROUND(SUMIF(Определители!I6:I25,"=9",'Текущие цены с учетом расхода'!F6:F25),2)</f>
        <v>0</v>
      </c>
      <c r="N79" s="41" t="s">
        <v>597</v>
      </c>
    </row>
    <row r="80" spans="1:14" ht="10.5">
      <c r="A80" s="33">
        <v>74</v>
      </c>
      <c r="B80" s="5" t="s">
        <v>271</v>
      </c>
      <c r="C80" s="41" t="s">
        <v>525</v>
      </c>
      <c r="D80" s="44">
        <v>0</v>
      </c>
      <c r="F80" s="38">
        <f>ROUND(SUMIF(Определители!I6:I25,"=9",'Текущие цены с учетом расхода'!N6:N25),2)</f>
        <v>0</v>
      </c>
      <c r="G80" s="38"/>
      <c r="H80" s="38"/>
      <c r="I80" s="38"/>
      <c r="J80" s="45"/>
      <c r="K80" s="45"/>
      <c r="L80" s="38"/>
      <c r="N80" s="41" t="s">
        <v>598</v>
      </c>
    </row>
    <row r="81" spans="1:14" ht="10.5">
      <c r="A81" s="33">
        <v>75</v>
      </c>
      <c r="B81" s="5" t="s">
        <v>244</v>
      </c>
      <c r="C81" s="41" t="s">
        <v>542</v>
      </c>
      <c r="D81" s="44">
        <v>0.94</v>
      </c>
      <c r="F81" s="38">
        <f>ROUND((F80)*D81,2)</f>
        <v>0</v>
      </c>
      <c r="G81" s="38"/>
      <c r="H81" s="38"/>
      <c r="I81" s="38"/>
      <c r="J81" s="45"/>
      <c r="K81" s="45"/>
      <c r="L81" s="38"/>
      <c r="N81" s="41" t="s">
        <v>599</v>
      </c>
    </row>
    <row r="82" spans="1:14" ht="10.5">
      <c r="A82" s="33">
        <v>76</v>
      </c>
      <c r="B82" s="5" t="s">
        <v>245</v>
      </c>
      <c r="C82" s="41" t="s">
        <v>525</v>
      </c>
      <c r="D82" s="44">
        <v>0</v>
      </c>
      <c r="F82" s="38">
        <f>ROUND(SUMIF(Определители!I6:I25,"=9",'Текущие цены с учетом расхода'!O6:O25),2)</f>
        <v>0</v>
      </c>
      <c r="G82" s="38"/>
      <c r="H82" s="38"/>
      <c r="I82" s="38"/>
      <c r="J82" s="45"/>
      <c r="K82" s="45"/>
      <c r="L82" s="38"/>
      <c r="N82" s="41" t="s">
        <v>600</v>
      </c>
    </row>
    <row r="83" spans="1:14" ht="10.5">
      <c r="A83" s="33">
        <v>77</v>
      </c>
      <c r="B83" s="5" t="s">
        <v>275</v>
      </c>
      <c r="C83" s="41" t="s">
        <v>532</v>
      </c>
      <c r="D83" s="44">
        <v>0</v>
      </c>
      <c r="F83" s="38">
        <f>ROUND((F79+F80+F82),2)</f>
        <v>0</v>
      </c>
      <c r="G83" s="38"/>
      <c r="H83" s="38"/>
      <c r="I83" s="38"/>
      <c r="J83" s="45"/>
      <c r="K83" s="45"/>
      <c r="L83" s="38"/>
      <c r="N83" s="41" t="s">
        <v>601</v>
      </c>
    </row>
    <row r="84" spans="1:14" ht="10.5">
      <c r="A84" s="33">
        <v>78</v>
      </c>
      <c r="B84" s="5" t="s">
        <v>276</v>
      </c>
      <c r="C84" s="41" t="s">
        <v>38</v>
      </c>
      <c r="D84" s="44">
        <v>0</v>
      </c>
      <c r="F84" s="38">
        <f>ROUND((F79+F81+F82),2)</f>
        <v>0</v>
      </c>
      <c r="G84" s="38"/>
      <c r="H84" s="38"/>
      <c r="I84" s="38"/>
      <c r="J84" s="45"/>
      <c r="K84" s="45"/>
      <c r="L84" s="38"/>
      <c r="N84" s="41" t="s">
        <v>602</v>
      </c>
    </row>
    <row r="85" spans="1:14" ht="10.5">
      <c r="A85" s="33">
        <v>79</v>
      </c>
      <c r="B85" s="5" t="s">
        <v>277</v>
      </c>
      <c r="C85" s="41" t="s">
        <v>525</v>
      </c>
      <c r="D85" s="44">
        <v>0</v>
      </c>
      <c r="F85" s="38">
        <f>ROUND(SUMIF(Определители!I6:I25,"=:",'Текущие цены с учетом расхода'!B6:B25),2)</f>
        <v>0</v>
      </c>
      <c r="G85" s="38">
        <f>ROUND(SUMIF(Определители!I6:I25,"=:",'Текущие цены с учетом расхода'!C6:C25),2)</f>
        <v>0</v>
      </c>
      <c r="H85" s="38">
        <f>ROUND(SUMIF(Определители!I6:I25,"=:",'Текущие цены с учетом расхода'!D6:D25),2)</f>
        <v>0</v>
      </c>
      <c r="I85" s="38">
        <f>ROUND(SUMIF(Определители!I6:I25,"=:",'Текущие цены с учетом расхода'!E6:E25),2)</f>
        <v>0</v>
      </c>
      <c r="J85" s="45">
        <f>ROUND(SUMIF(Определители!I6:I25,"=:",'Текущие цены с учетом расхода'!I6:I25),8)</f>
        <v>0</v>
      </c>
      <c r="K85" s="45">
        <f>ROUND(SUMIF(Определители!I6:I25,"=:",'Текущие цены с учетом расхода'!K6:K25),8)</f>
        <v>0</v>
      </c>
      <c r="L85" s="38">
        <f>ROUND(SUMIF(Определители!I6:I25,"=:",'Текущие цены с учетом расхода'!F6:F25),2)</f>
        <v>0</v>
      </c>
      <c r="N85" s="41" t="s">
        <v>603</v>
      </c>
    </row>
    <row r="86" spans="1:14" ht="10.5">
      <c r="A86" s="33">
        <v>80</v>
      </c>
      <c r="B86" s="5" t="s">
        <v>242</v>
      </c>
      <c r="C86" s="41" t="s">
        <v>525</v>
      </c>
      <c r="D86" s="44">
        <v>0</v>
      </c>
      <c r="F86" s="38">
        <f>ROUND(SUMIF(Определители!I6:I25,"=:",'Текущие цены с учетом расхода'!H6:H25),2)</f>
        <v>0</v>
      </c>
      <c r="G86" s="38"/>
      <c r="H86" s="38"/>
      <c r="I86" s="38"/>
      <c r="J86" s="45"/>
      <c r="K86" s="45"/>
      <c r="L86" s="38"/>
      <c r="N86" s="41" t="s">
        <v>604</v>
      </c>
    </row>
    <row r="87" spans="1:14" ht="10.5">
      <c r="A87" s="33">
        <v>81</v>
      </c>
      <c r="B87" s="5" t="s">
        <v>271</v>
      </c>
      <c r="C87" s="41" t="s">
        <v>525</v>
      </c>
      <c r="D87" s="44">
        <v>0</v>
      </c>
      <c r="F87" s="38">
        <f>ROUND(SUMIF(Определители!I6:I25,"=:",'Текущие цены с учетом расхода'!N6:N25),2)</f>
        <v>0</v>
      </c>
      <c r="G87" s="38"/>
      <c r="H87" s="38"/>
      <c r="I87" s="38"/>
      <c r="J87" s="45"/>
      <c r="K87" s="45"/>
      <c r="L87" s="38"/>
      <c r="N87" s="41" t="s">
        <v>605</v>
      </c>
    </row>
    <row r="88" spans="1:14" ht="10.5">
      <c r="A88" s="33">
        <v>82</v>
      </c>
      <c r="B88" s="5" t="s">
        <v>244</v>
      </c>
      <c r="C88" s="41" t="s">
        <v>542</v>
      </c>
      <c r="D88" s="44">
        <v>0.94</v>
      </c>
      <c r="F88" s="38">
        <f>ROUND((F87)*D88,2)</f>
        <v>0</v>
      </c>
      <c r="G88" s="38"/>
      <c r="H88" s="38"/>
      <c r="I88" s="38"/>
      <c r="J88" s="45"/>
      <c r="K88" s="45"/>
      <c r="L88" s="38"/>
      <c r="N88" s="41" t="s">
        <v>606</v>
      </c>
    </row>
    <row r="89" spans="1:14" ht="10.5">
      <c r="A89" s="33">
        <v>83</v>
      </c>
      <c r="B89" s="5" t="s">
        <v>245</v>
      </c>
      <c r="C89" s="41" t="s">
        <v>525</v>
      </c>
      <c r="D89" s="44">
        <v>0</v>
      </c>
      <c r="F89" s="38">
        <f>ROUND(SUMIF(Определители!I6:I25,"=:",'Текущие цены с учетом расхода'!O6:O25),2)</f>
        <v>0</v>
      </c>
      <c r="G89" s="38"/>
      <c r="H89" s="38"/>
      <c r="I89" s="38"/>
      <c r="J89" s="45"/>
      <c r="K89" s="45"/>
      <c r="L89" s="38"/>
      <c r="N89" s="41" t="s">
        <v>607</v>
      </c>
    </row>
    <row r="90" spans="1:14" ht="10.5">
      <c r="A90" s="33">
        <v>84</v>
      </c>
      <c r="B90" s="5" t="s">
        <v>278</v>
      </c>
      <c r="C90" s="41" t="s">
        <v>532</v>
      </c>
      <c r="D90" s="44">
        <v>0</v>
      </c>
      <c r="F90" s="38">
        <f>ROUND((F85+F87+F89),2)</f>
        <v>0</v>
      </c>
      <c r="G90" s="38"/>
      <c r="H90" s="38"/>
      <c r="I90" s="38"/>
      <c r="J90" s="45"/>
      <c r="K90" s="45"/>
      <c r="L90" s="38"/>
      <c r="N90" s="41" t="s">
        <v>608</v>
      </c>
    </row>
    <row r="91" spans="1:14" ht="10.5">
      <c r="A91" s="33">
        <v>85</v>
      </c>
      <c r="B91" s="5" t="s">
        <v>279</v>
      </c>
      <c r="C91" s="41" t="s">
        <v>38</v>
      </c>
      <c r="D91" s="44">
        <v>0</v>
      </c>
      <c r="F91" s="38">
        <f>ROUND((F85+F88+F89),2)</f>
        <v>0</v>
      </c>
      <c r="G91" s="38"/>
      <c r="H91" s="38"/>
      <c r="I91" s="38"/>
      <c r="J91" s="45"/>
      <c r="K91" s="45"/>
      <c r="L91" s="38"/>
      <c r="N91" s="41" t="s">
        <v>609</v>
      </c>
    </row>
    <row r="92" spans="1:14" ht="10.5">
      <c r="A92" s="33">
        <v>86</v>
      </c>
      <c r="B92" s="5" t="s">
        <v>280</v>
      </c>
      <c r="C92" s="41" t="s">
        <v>525</v>
      </c>
      <c r="D92" s="44">
        <v>0</v>
      </c>
      <c r="F92" s="38">
        <f>ROUND(SUMIF(Определители!I6:I25,"=8",'Текущие цены с учетом расхода'!B6:B25),2)</f>
        <v>0</v>
      </c>
      <c r="G92" s="38">
        <f>ROUND(SUMIF(Определители!I6:I25,"=8",'Текущие цены с учетом расхода'!C6:C25),2)</f>
        <v>0</v>
      </c>
      <c r="H92" s="38">
        <f>ROUND(SUMIF(Определители!I6:I25,"=8",'Текущие цены с учетом расхода'!D6:D25),2)</f>
        <v>0</v>
      </c>
      <c r="I92" s="38">
        <f>ROUND(SUMIF(Определители!I6:I25,"=8",'Текущие цены с учетом расхода'!E6:E25),2)</f>
        <v>0</v>
      </c>
      <c r="J92" s="45">
        <f>ROUND(SUMIF(Определители!I6:I25,"=8",'Текущие цены с учетом расхода'!I6:I25),8)</f>
        <v>0</v>
      </c>
      <c r="K92" s="45">
        <f>ROUND(SUMIF(Определители!I6:I25,"=8",'Текущие цены с учетом расхода'!K6:K25),8)</f>
        <v>0</v>
      </c>
      <c r="L92" s="38">
        <f>ROUND(SUMIF(Определители!I6:I25,"=8",'Текущие цены с учетом расхода'!F6:F25),2)</f>
        <v>0</v>
      </c>
      <c r="N92" s="41" t="s">
        <v>610</v>
      </c>
    </row>
    <row r="93" spans="1:14" ht="10.5">
      <c r="A93" s="33">
        <v>87</v>
      </c>
      <c r="B93" s="5" t="s">
        <v>242</v>
      </c>
      <c r="C93" s="41" t="s">
        <v>525</v>
      </c>
      <c r="D93" s="44">
        <v>0</v>
      </c>
      <c r="F93" s="38">
        <f>ROUND(SUMIF(Определители!I6:I25,"=8",'Текущие цены с учетом расхода'!H6:H25),2)</f>
        <v>0</v>
      </c>
      <c r="G93" s="38"/>
      <c r="H93" s="38"/>
      <c r="I93" s="38"/>
      <c r="J93" s="45"/>
      <c r="K93" s="45"/>
      <c r="L93" s="38"/>
      <c r="N93" s="41" t="s">
        <v>611</v>
      </c>
    </row>
    <row r="94" spans="1:14" ht="10.5">
      <c r="A94" s="33">
        <v>88</v>
      </c>
      <c r="B94" s="5" t="s">
        <v>281</v>
      </c>
      <c r="C94" s="41" t="s">
        <v>532</v>
      </c>
      <c r="D94" s="44">
        <v>0</v>
      </c>
      <c r="F94" s="38">
        <f>ROUND((F17+F28+F37+F44+F54+F61+F68+F77+F83+F90+F92),2)</f>
        <v>248595.54</v>
      </c>
      <c r="G94" s="38">
        <f>ROUND((G17+G28+G37+G44+G54+G61+G68+G77+G83+G90+G92),2)</f>
        <v>0</v>
      </c>
      <c r="H94" s="38">
        <f>ROUND((H17+H28+H37+H44+H54+H61+H68+H77+H83+H90+H92),2)</f>
        <v>0</v>
      </c>
      <c r="I94" s="38">
        <f>ROUND((I17+I28+I37+I44+I54+I61+I68+I77+I83+I90+I92),2)</f>
        <v>0</v>
      </c>
      <c r="J94" s="45">
        <f>ROUND((J17+J28+J37+J44+J54+J61+J68+J77+J83+J90+J92),8)</f>
        <v>0</v>
      </c>
      <c r="K94" s="45">
        <f>ROUND((K17+K28+K37+K44+K54+K61+K68+K77+K83+K90+K92),8)</f>
        <v>0</v>
      </c>
      <c r="L94" s="38">
        <f>ROUND((L17+L28+L37+L44+L54+L61+L68+L77+L83+L90+L92),2)</f>
        <v>0</v>
      </c>
      <c r="N94" s="41" t="s">
        <v>612</v>
      </c>
    </row>
    <row r="95" spans="1:14" ht="10.5">
      <c r="A95" s="33">
        <v>89</v>
      </c>
      <c r="B95" s="5" t="s">
        <v>282</v>
      </c>
      <c r="C95" s="41" t="s">
        <v>542</v>
      </c>
      <c r="D95" s="44">
        <v>0.94</v>
      </c>
      <c r="F95" s="38">
        <f>ROUND((F100)*D95,2)</f>
        <v>52378.45</v>
      </c>
      <c r="G95" s="38"/>
      <c r="H95" s="38"/>
      <c r="I95" s="38"/>
      <c r="J95" s="45"/>
      <c r="K95" s="45"/>
      <c r="L95" s="38"/>
      <c r="N95" s="41" t="s">
        <v>613</v>
      </c>
    </row>
    <row r="96" spans="1:14" ht="10.5">
      <c r="A96" s="33">
        <v>90</v>
      </c>
      <c r="B96" s="5" t="s">
        <v>283</v>
      </c>
      <c r="C96" s="41" t="s">
        <v>38</v>
      </c>
      <c r="D96" s="44">
        <v>0</v>
      </c>
      <c r="F96" s="38">
        <f>ROUND((F7+F95+F101),2)</f>
        <v>245252.24</v>
      </c>
      <c r="G96" s="38"/>
      <c r="H96" s="38"/>
      <c r="I96" s="38"/>
      <c r="J96" s="45"/>
      <c r="K96" s="45"/>
      <c r="L96" s="38"/>
      <c r="N96" s="41" t="s">
        <v>614</v>
      </c>
    </row>
    <row r="97" spans="1:14" ht="10.5">
      <c r="A97" s="33">
        <v>91</v>
      </c>
      <c r="B97" s="5" t="s">
        <v>284</v>
      </c>
      <c r="C97" s="41" t="s">
        <v>615</v>
      </c>
      <c r="D97" s="44">
        <v>18</v>
      </c>
      <c r="F97" s="38">
        <f>ROUND((F96)*D97/100,2)</f>
        <v>44145.4</v>
      </c>
      <c r="G97" s="38"/>
      <c r="H97" s="38"/>
      <c r="I97" s="38"/>
      <c r="J97" s="45"/>
      <c r="K97" s="45"/>
      <c r="L97" s="38"/>
      <c r="N97" s="41" t="s">
        <v>616</v>
      </c>
    </row>
    <row r="98" spans="1:14" ht="10.5">
      <c r="A98" s="33">
        <v>92</v>
      </c>
      <c r="B98" s="5" t="s">
        <v>285</v>
      </c>
      <c r="C98" s="41" t="s">
        <v>38</v>
      </c>
      <c r="D98" s="44">
        <v>0</v>
      </c>
      <c r="F98" s="38">
        <f>ROUND((F97+F96),2)</f>
        <v>289397.64</v>
      </c>
      <c r="G98" s="38"/>
      <c r="H98" s="38"/>
      <c r="I98" s="38"/>
      <c r="J98" s="45"/>
      <c r="K98" s="45"/>
      <c r="L98" s="38"/>
      <c r="N98" s="41" t="s">
        <v>617</v>
      </c>
    </row>
    <row r="99" spans="1:14" ht="10.5">
      <c r="A99" s="33">
        <v>93</v>
      </c>
      <c r="B99" s="5" t="s">
        <v>286</v>
      </c>
      <c r="C99" s="41" t="s">
        <v>532</v>
      </c>
      <c r="D99" s="44">
        <v>0</v>
      </c>
      <c r="F99" s="38">
        <f>ROUND((F23+F33+F40+F49+F57+F64+F73+F86+F93),2)</f>
        <v>0</v>
      </c>
      <c r="G99" s="38"/>
      <c r="H99" s="38"/>
      <c r="I99" s="38"/>
      <c r="J99" s="45"/>
      <c r="K99" s="45"/>
      <c r="L99" s="38"/>
      <c r="N99" s="41" t="s">
        <v>618</v>
      </c>
    </row>
    <row r="100" spans="1:14" ht="10.5">
      <c r="A100" s="33">
        <v>94</v>
      </c>
      <c r="B100" s="5" t="s">
        <v>287</v>
      </c>
      <c r="C100" s="41" t="s">
        <v>532</v>
      </c>
      <c r="D100" s="44">
        <v>0</v>
      </c>
      <c r="F100" s="38">
        <f>ROUND((F24+F34+F41+F50+F58+F65+F74+F80+F87),2)</f>
        <v>55721.75</v>
      </c>
      <c r="G100" s="38"/>
      <c r="H100" s="38"/>
      <c r="I100" s="38"/>
      <c r="J100" s="45"/>
      <c r="K100" s="45"/>
      <c r="L100" s="38"/>
      <c r="N100" s="41" t="s">
        <v>619</v>
      </c>
    </row>
    <row r="101" spans="1:14" ht="10.5">
      <c r="A101" s="33">
        <v>95</v>
      </c>
      <c r="B101" s="5" t="s">
        <v>288</v>
      </c>
      <c r="C101" s="41" t="s">
        <v>532</v>
      </c>
      <c r="D101" s="44">
        <v>0</v>
      </c>
      <c r="F101" s="38">
        <f>ROUND((F26+F36+F43+F52+F60+F67+F76+F82+F89),2)</f>
        <v>32666.68</v>
      </c>
      <c r="G101" s="38"/>
      <c r="H101" s="38"/>
      <c r="I101" s="38"/>
      <c r="J101" s="45"/>
      <c r="K101" s="45"/>
      <c r="L101" s="38"/>
      <c r="N101" s="41" t="s">
        <v>620</v>
      </c>
    </row>
    <row r="102" spans="1:14" ht="10.5">
      <c r="A102" s="33">
        <v>96</v>
      </c>
      <c r="B102" s="5" t="s">
        <v>289</v>
      </c>
      <c r="C102" s="41" t="s">
        <v>621</v>
      </c>
      <c r="D102" s="44">
        <v>0</v>
      </c>
      <c r="F102" s="38"/>
      <c r="G102" s="38"/>
      <c r="H102" s="38"/>
      <c r="I102" s="38"/>
      <c r="J102" s="45"/>
      <c r="K102" s="45"/>
      <c r="L102" s="38">
        <f>ROUND(SUM('Текущие цены с учетом расхода'!X6:X25),2)</f>
        <v>0</v>
      </c>
      <c r="N102" s="41" t="s">
        <v>622</v>
      </c>
    </row>
    <row r="103" spans="1:14" ht="10.5">
      <c r="A103" s="33">
        <v>97</v>
      </c>
      <c r="B103" s="5" t="s">
        <v>290</v>
      </c>
      <c r="C103" s="41" t="s">
        <v>621</v>
      </c>
      <c r="D103" s="44">
        <v>0</v>
      </c>
      <c r="F103" s="38">
        <f>ROUND(SUM('Текущие цены с учетом расхода'!C6:C25),2)</f>
        <v>44999.87</v>
      </c>
      <c r="G103" s="38"/>
      <c r="H103" s="38"/>
      <c r="I103" s="38"/>
      <c r="J103" s="45"/>
      <c r="K103" s="45"/>
      <c r="L103" s="38"/>
      <c r="N103" s="41" t="s">
        <v>623</v>
      </c>
    </row>
    <row r="104" spans="1:14" ht="10.5">
      <c r="A104" s="33">
        <v>98</v>
      </c>
      <c r="B104" s="5" t="s">
        <v>291</v>
      </c>
      <c r="C104" s="41" t="s">
        <v>621</v>
      </c>
      <c r="D104" s="44">
        <v>0</v>
      </c>
      <c r="F104" s="38">
        <f>ROUND(SUM('Текущие цены с учетом расхода'!E6:E25),2)</f>
        <v>14950.9</v>
      </c>
      <c r="G104" s="38"/>
      <c r="H104" s="38"/>
      <c r="I104" s="38"/>
      <c r="J104" s="45"/>
      <c r="K104" s="45"/>
      <c r="L104" s="38"/>
      <c r="N104" s="41" t="s">
        <v>624</v>
      </c>
    </row>
    <row r="105" spans="1:14" ht="10.5">
      <c r="A105" s="33">
        <v>99</v>
      </c>
      <c r="B105" s="5" t="s">
        <v>292</v>
      </c>
      <c r="C105" s="41" t="s">
        <v>38</v>
      </c>
      <c r="D105" s="44">
        <v>0</v>
      </c>
      <c r="F105" s="38">
        <f>ROUND((F103+F104),2)</f>
        <v>59950.77</v>
      </c>
      <c r="G105" s="38"/>
      <c r="H105" s="38"/>
      <c r="I105" s="38"/>
      <c r="J105" s="45"/>
      <c r="K105" s="45"/>
      <c r="L105" s="38"/>
      <c r="N105" s="41" t="s">
        <v>625</v>
      </c>
    </row>
    <row r="106" spans="1:14" ht="10.5">
      <c r="A106" s="33">
        <v>100</v>
      </c>
      <c r="B106" s="5" t="s">
        <v>293</v>
      </c>
      <c r="C106" s="41" t="s">
        <v>621</v>
      </c>
      <c r="D106" s="44">
        <v>0</v>
      </c>
      <c r="F106" s="38"/>
      <c r="G106" s="38"/>
      <c r="H106" s="38"/>
      <c r="I106" s="38"/>
      <c r="J106" s="45">
        <f>ROUND(SUM('Текущие цены с учетом расхода'!I6:I25),8)</f>
        <v>504.2559</v>
      </c>
      <c r="K106" s="45"/>
      <c r="L106" s="38"/>
      <c r="N106" s="41" t="s">
        <v>626</v>
      </c>
    </row>
    <row r="107" spans="1:14" ht="10.5">
      <c r="A107" s="33">
        <v>101</v>
      </c>
      <c r="B107" s="5" t="s">
        <v>294</v>
      </c>
      <c r="C107" s="41" t="s">
        <v>621</v>
      </c>
      <c r="D107" s="44">
        <v>0</v>
      </c>
      <c r="F107" s="38"/>
      <c r="G107" s="38"/>
      <c r="H107" s="38"/>
      <c r="I107" s="38"/>
      <c r="J107" s="45">
        <f>ROUND(SUM('Текущие цены с учетом расхода'!K6:K25),8)</f>
        <v>124.820428</v>
      </c>
      <c r="K107" s="45"/>
      <c r="L107" s="38"/>
      <c r="N107" s="41" t="s">
        <v>627</v>
      </c>
    </row>
    <row r="108" spans="1:14" ht="10.5">
      <c r="A108" s="33">
        <v>102</v>
      </c>
      <c r="B108" s="5" t="s">
        <v>295</v>
      </c>
      <c r="C108" s="41" t="s">
        <v>38</v>
      </c>
      <c r="D108" s="44">
        <v>0</v>
      </c>
      <c r="F108" s="38"/>
      <c r="G108" s="38"/>
      <c r="H108" s="38"/>
      <c r="I108" s="38"/>
      <c r="J108" s="45">
        <f>ROUND((J106+J107),8)</f>
        <v>629.076328</v>
      </c>
      <c r="K108" s="45"/>
      <c r="L108" s="38"/>
      <c r="N108" s="41" t="s">
        <v>628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595"/>
  <sheetViews>
    <sheetView tabSelected="1" zoomScalePageLayoutView="0" workbookViewId="0" topLeftCell="C1">
      <selection activeCell="H11" sqref="H11"/>
    </sheetView>
  </sheetViews>
  <sheetFormatPr defaultColWidth="9.140625" defaultRowHeight="10.5"/>
  <cols>
    <col min="1" max="1" width="6.8515625" style="1" customWidth="1"/>
    <col min="2" max="2" width="14.57421875" style="1" customWidth="1"/>
    <col min="3" max="3" width="66.421875" style="1" customWidth="1"/>
    <col min="4" max="4" width="10.57421875" style="1" customWidth="1"/>
    <col min="5" max="7" width="11.28125" style="1" customWidth="1"/>
    <col min="8" max="8" width="18.28125" style="1" customWidth="1"/>
    <col min="9" max="13" width="9.140625" style="1" hidden="1" customWidth="1"/>
    <col min="14" max="14" width="0.2890625" style="1" customWidth="1"/>
    <col min="15" max="16384" width="9.140625" style="1" customWidth="1"/>
  </cols>
  <sheetData>
    <row r="1" spans="1:8" ht="10.5">
      <c r="A1" s="2"/>
      <c r="C1" s="2"/>
      <c r="F1" s="93" t="s">
        <v>663</v>
      </c>
      <c r="G1" s="69"/>
      <c r="H1" s="69"/>
    </row>
    <row r="2" spans="1:8" ht="10.5">
      <c r="A2" s="2"/>
      <c r="C2" s="2"/>
      <c r="H2" s="3"/>
    </row>
    <row r="3" spans="2:8" ht="10.5" customHeight="1">
      <c r="B3" s="83" t="s">
        <v>659</v>
      </c>
      <c r="C3" s="83"/>
      <c r="D3" s="83" t="s">
        <v>656</v>
      </c>
      <c r="E3" s="83"/>
      <c r="F3" s="83"/>
      <c r="G3" s="83"/>
      <c r="H3" s="83"/>
    </row>
    <row r="4" spans="2:8" ht="10.5">
      <c r="B4" s="81" t="s">
        <v>660</v>
      </c>
      <c r="C4" s="81"/>
      <c r="D4" s="62"/>
      <c r="E4" s="62"/>
      <c r="F4" s="81" t="s">
        <v>657</v>
      </c>
      <c r="G4" s="81"/>
      <c r="H4" s="81"/>
    </row>
    <row r="5" spans="2:8" ht="10.5" customHeight="1">
      <c r="B5" s="81" t="s">
        <v>661</v>
      </c>
      <c r="C5" s="81"/>
      <c r="D5" s="81" t="s">
        <v>658</v>
      </c>
      <c r="E5" s="81"/>
      <c r="F5" s="81"/>
      <c r="G5" s="81"/>
      <c r="H5" s="81"/>
    </row>
    <row r="6" spans="2:8" ht="10.5">
      <c r="B6" s="64"/>
      <c r="C6" s="64"/>
      <c r="D6" s="46"/>
      <c r="E6" s="46"/>
      <c r="F6" s="64"/>
      <c r="G6" s="64"/>
      <c r="H6" s="64"/>
    </row>
    <row r="7" spans="2:8" ht="10.5">
      <c r="B7" s="64"/>
      <c r="C7" s="64"/>
      <c r="D7" s="64"/>
      <c r="E7" s="64"/>
      <c r="F7" s="64"/>
      <c r="G7" s="64"/>
      <c r="H7" s="64"/>
    </row>
    <row r="8" spans="2:3" ht="10.5">
      <c r="B8" s="69"/>
      <c r="C8" s="69"/>
    </row>
    <row r="11" spans="2:3" ht="10.5">
      <c r="B11" s="4" t="s">
        <v>2</v>
      </c>
      <c r="C11" s="5" t="s">
        <v>3</v>
      </c>
    </row>
    <row r="12" spans="2:3" ht="10.5">
      <c r="B12" s="4" t="s">
        <v>4</v>
      </c>
      <c r="C12" s="5" t="s">
        <v>5</v>
      </c>
    </row>
    <row r="13" spans="1:8" ht="10.5">
      <c r="A13" s="66" t="s">
        <v>6</v>
      </c>
      <c r="B13" s="66"/>
      <c r="C13" s="66"/>
      <c r="D13" s="66"/>
      <c r="E13" s="66"/>
      <c r="F13" s="66"/>
      <c r="G13" s="66"/>
      <c r="H13" s="66"/>
    </row>
    <row r="14" spans="1:8" ht="10.5">
      <c r="A14" s="63" t="s">
        <v>7</v>
      </c>
      <c r="B14" s="63"/>
      <c r="C14" s="63"/>
      <c r="D14" s="63"/>
      <c r="E14" s="63"/>
      <c r="F14" s="63"/>
      <c r="G14" s="63"/>
      <c r="H14" s="63"/>
    </row>
    <row r="15" spans="1:8" ht="10.5">
      <c r="A15" s="63" t="s">
        <v>8</v>
      </c>
      <c r="B15" s="63"/>
      <c r="C15" s="63"/>
      <c r="D15" s="63"/>
      <c r="E15" s="63"/>
      <c r="F15" s="63"/>
      <c r="G15" s="63"/>
      <c r="H15" s="63"/>
    </row>
    <row r="16" spans="5:8" ht="10.5">
      <c r="E16" s="4" t="s">
        <v>9</v>
      </c>
      <c r="F16" s="82" t="str">
        <f>TEXT((H578)/1000,"# ##0"&amp;GetSeparator()&amp;"000")</f>
        <v> 318,337</v>
      </c>
      <c r="G16" s="82"/>
      <c r="H16" s="7" t="s">
        <v>10</v>
      </c>
    </row>
    <row r="17" spans="5:8" ht="10.5">
      <c r="E17" s="4" t="s">
        <v>11</v>
      </c>
      <c r="F17" s="82" t="str">
        <f>TEXT((H588)/1000,"# ##0"&amp;GetSeparator()&amp;"000")</f>
        <v> 0,629</v>
      </c>
      <c r="G17" s="82"/>
      <c r="H17" s="7" t="s">
        <v>12</v>
      </c>
    </row>
    <row r="18" spans="5:8" ht="10.5">
      <c r="E18" s="4" t="s">
        <v>13</v>
      </c>
      <c r="F18" s="82" t="str">
        <f>TEXT((H585)/1000,"# ##0"&amp;GetSeparator()&amp;"000")</f>
        <v> 59,951</v>
      </c>
      <c r="G18" s="82"/>
      <c r="H18" s="7" t="s">
        <v>10</v>
      </c>
    </row>
    <row r="19" spans="1:8" ht="10.5">
      <c r="A19" s="77" t="s">
        <v>14</v>
      </c>
      <c r="B19" s="77"/>
      <c r="C19" s="77"/>
      <c r="D19" s="77"/>
      <c r="E19" s="77"/>
      <c r="F19" s="77"/>
      <c r="G19" s="77"/>
      <c r="H19" s="77"/>
    </row>
    <row r="20" ht="4.5" customHeight="1"/>
    <row r="21" spans="1:8" ht="33" customHeight="1">
      <c r="A21" s="67" t="s">
        <v>15</v>
      </c>
      <c r="B21" s="67" t="s">
        <v>16</v>
      </c>
      <c r="C21" s="67" t="s">
        <v>17</v>
      </c>
      <c r="D21" s="8" t="s">
        <v>18</v>
      </c>
      <c r="E21" s="79" t="s">
        <v>19</v>
      </c>
      <c r="F21" s="80"/>
      <c r="G21" s="79" t="s">
        <v>20</v>
      </c>
      <c r="H21" s="80"/>
    </row>
    <row r="22" spans="1:8" ht="43.5" customHeight="1">
      <c r="A22" s="78"/>
      <c r="B22" s="78"/>
      <c r="C22" s="78"/>
      <c r="D22" s="8" t="s">
        <v>21</v>
      </c>
      <c r="E22" s="8" t="s">
        <v>22</v>
      </c>
      <c r="F22" s="8" t="s">
        <v>23</v>
      </c>
      <c r="G22" s="8" t="s">
        <v>22</v>
      </c>
      <c r="H22" s="8" t="s">
        <v>24</v>
      </c>
    </row>
    <row r="23" spans="1:8" ht="10.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</row>
    <row r="24" ht="10.5">
      <c r="B24" s="7" t="s">
        <v>25</v>
      </c>
    </row>
    <row r="25" spans="1:14" ht="21">
      <c r="A25" s="10" t="s">
        <v>26</v>
      </c>
      <c r="B25" s="10" t="s">
        <v>27</v>
      </c>
      <c r="C25" s="10" t="s">
        <v>28</v>
      </c>
      <c r="D25" s="11" t="s">
        <v>29</v>
      </c>
      <c r="F25" s="12">
        <v>1.5</v>
      </c>
      <c r="G25" s="13">
        <f>ROUND(СУММПРОИЗВЕСЛИ(1,I25:I28,"s",E25:E28,G25:G28,0),2)</f>
        <v>14616.8</v>
      </c>
      <c r="H25" s="13">
        <f>ROUND(СУММПРОИЗВЕСЛИ(F25,I25:I28,"s",E25:E28,G25:G28,0),2)</f>
        <v>21925.2</v>
      </c>
      <c r="I25" s="1" t="s">
        <v>30</v>
      </c>
      <c r="M25" s="13">
        <f>ROUND(СУММПРОИЗВЕСЛИ(1,I25:I28,"s",E25:E28,M25:M28,0),2)</f>
        <v>0</v>
      </c>
      <c r="N25" s="13">
        <f>ROUND(СУММПРОИЗВЕСЛИ(F25,I25:I28,"s",E25:E28,M25:M28,0),2)</f>
        <v>0</v>
      </c>
    </row>
    <row r="26" spans="1:14" ht="10.5">
      <c r="A26" s="14" t="s">
        <v>31</v>
      </c>
      <c r="B26" s="14" t="s">
        <v>32</v>
      </c>
      <c r="C26" s="14" t="s">
        <v>33</v>
      </c>
      <c r="D26" s="15" t="s">
        <v>34</v>
      </c>
      <c r="E26" s="1">
        <f>ОКРУГЛВСЕ(СУММПРОИЗВЕСЛИ(1,K25:K28,"mWithZTM",D25:D28,E25:E28,-1)+СУММКОЭФПРОЦЕНТЕСЛИ(1,1,K25:K28,"mWithZTM_Proch",E25:E28,-1),11)</f>
        <v>32.1425</v>
      </c>
      <c r="F26" s="1">
        <f>ОКРУГЛВСЕ(СУММПРОИЗВЕСЛИ(1,K25:K28,"mWithZTM",D25:D28,F25:F28,-1)+СУММКОЭФПРОЦЕНТЕСЛИ(1,1,K25:K28,"mWithZTM_Proch",F25:F28,-1),11)</f>
        <v>48.21375</v>
      </c>
      <c r="G26" s="16">
        <f>IF(F26=0,0,ROUND(H26/F26,3))</f>
        <v>147.82</v>
      </c>
      <c r="H26" s="17">
        <f>ROUND(СУММЕСЛИДА1НЕ1(L25:L28,"mWithZPM",D25:D28,0,H25:H28),2)</f>
        <v>7126.96</v>
      </c>
      <c r="J26" s="1" t="s">
        <v>35</v>
      </c>
      <c r="M26" s="16">
        <f>IF(F26=0,0,ROUND(N26/F26,3))</f>
        <v>0</v>
      </c>
      <c r="N26" s="17">
        <f>ROUND(СУММЕСЛИДА1НЕ1(L25:L28,"mWithZPM",D25:D28,0,N25:N28),2)</f>
        <v>0</v>
      </c>
    </row>
    <row r="27" spans="1:14" ht="10.5">
      <c r="A27" s="72" t="s">
        <v>36</v>
      </c>
      <c r="B27" s="73" t="str">
        <f>ПОЛУЧШИФР(Ресурсы!A60,0)</f>
        <v>х06-0248</v>
      </c>
      <c r="C27" s="72" t="str">
        <f>Ресурсы!B60</f>
        <v>Экскаваторы одноковшовые дизельные на гусеничном ходу при работе на других видах строительства (кроме водохозяйственного) 0,65 м3</v>
      </c>
      <c r="D27" s="19" t="s">
        <v>37</v>
      </c>
      <c r="E27" s="69">
        <v>32.1425</v>
      </c>
      <c r="F27" s="69">
        <f>ОКРУГЛВСЕ(IF(E27="",0,E27)*IF(F25="",0,F25),11)</f>
        <v>48.21375</v>
      </c>
      <c r="G27" s="20">
        <f>Ресурсы!D60</f>
        <v>454.75</v>
      </c>
      <c r="H27" s="20">
        <f>ROUND(IF(F27="",0,F27)*IF(G27="",0,G27),2)</f>
        <v>21925.2</v>
      </c>
      <c r="I27" s="1" t="s">
        <v>38</v>
      </c>
      <c r="J27" s="1" t="s">
        <v>39</v>
      </c>
      <c r="M27" s="20">
        <f>Ресурсы!C60</f>
        <v>0</v>
      </c>
      <c r="N27" s="20">
        <f>ROUND(IF(F27="",0,F27)*IF(M27="",0,M27),2)</f>
        <v>0</v>
      </c>
    </row>
    <row r="28" spans="1:14" ht="21">
      <c r="A28" s="72"/>
      <c r="B28" s="73"/>
      <c r="C28" s="72"/>
      <c r="D28" s="1">
        <f>Ресурсы!G60</f>
        <v>1</v>
      </c>
      <c r="E28" s="69"/>
      <c r="F28" s="69"/>
      <c r="G28" s="17">
        <f>Ресурсы!F60</f>
        <v>147.82</v>
      </c>
      <c r="H28" s="17">
        <f>ROUND(IF(F27="",0,F27)*IF(G28="",0,G28),2)</f>
        <v>7126.96</v>
      </c>
      <c r="K28" s="1" t="s">
        <v>40</v>
      </c>
      <c r="L28" s="1" t="s">
        <v>41</v>
      </c>
      <c r="M28" s="17">
        <f>Ресурсы!E60</f>
        <v>0</v>
      </c>
      <c r="N28" s="17">
        <f>ROUND(IF(F27="",0,F27)*IF(M28="",0,M28),2)</f>
        <v>0</v>
      </c>
    </row>
    <row r="29" ht="10.5" hidden="1">
      <c r="C29" s="21" t="s">
        <v>42</v>
      </c>
    </row>
    <row r="30" spans="3:8" ht="10.5" hidden="1">
      <c r="C30" s="21" t="s">
        <v>43</v>
      </c>
      <c r="H30" s="1">
        <v>21925.2</v>
      </c>
    </row>
    <row r="31" spans="3:8" ht="10.5" hidden="1">
      <c r="C31" s="21" t="s">
        <v>44</v>
      </c>
      <c r="H31" s="1">
        <v>7126.96</v>
      </c>
    </row>
    <row r="32" ht="10.5" hidden="1">
      <c r="C32" s="21" t="s">
        <v>45</v>
      </c>
    </row>
    <row r="33" ht="10.5" hidden="1">
      <c r="C33" s="21" t="s">
        <v>46</v>
      </c>
    </row>
    <row r="34" spans="3:13" ht="21" hidden="1">
      <c r="C34" s="21" t="s">
        <v>47</v>
      </c>
      <c r="G34" s="22"/>
      <c r="I34" s="1" t="s">
        <v>48</v>
      </c>
      <c r="M34" s="22"/>
    </row>
    <row r="35" ht="10.5" hidden="1">
      <c r="C35" s="21" t="s">
        <v>49</v>
      </c>
    </row>
    <row r="36" ht="10.5" hidden="1">
      <c r="C36" s="21" t="s">
        <v>50</v>
      </c>
    </row>
    <row r="37" ht="10.5" hidden="1">
      <c r="C37" s="21" t="s">
        <v>51</v>
      </c>
    </row>
    <row r="38" spans="3:14" ht="10.5">
      <c r="C38" s="21" t="s">
        <v>52</v>
      </c>
      <c r="G38" s="1">
        <v>85.5</v>
      </c>
      <c r="H38" s="23">
        <f>IF('Текущие цены с учетом расхода'!N6&gt;0,'Текущие цены с учетом расхода'!N6,IF('Текущие цены с учетом расхода'!N6&lt;0,'Текущие цены с учетом расхода'!N6,""))</f>
        <v>6093.55</v>
      </c>
      <c r="J38" s="14" t="s">
        <v>53</v>
      </c>
      <c r="N38" s="23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</c>
    </row>
    <row r="39" spans="3:14" ht="10.5" hidden="1">
      <c r="C39" s="21" t="s">
        <v>54</v>
      </c>
      <c r="H39" s="23">
        <f>IF('Текущие цены с учетом расхода'!P6&gt;0,'Текущие цены с учетом расхода'!P6,IF('Текущие цены с учетом расхода'!P6&lt;0,'Текущие цены с учетом расхода'!P6,""))</f>
      </c>
      <c r="J39" s="14" t="s">
        <v>55</v>
      </c>
      <c r="N39" s="23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</c>
    </row>
    <row r="40" spans="3:14" ht="10.5" hidden="1">
      <c r="C40" s="21" t="s">
        <v>56</v>
      </c>
      <c r="G40" s="1">
        <v>85.5</v>
      </c>
      <c r="H40" s="23">
        <f>IF('Текущие цены с учетом расхода'!Q6&gt;0,'Текущие цены с учетом расхода'!Q6,IF('Текущие цены с учетом расхода'!Q6&lt;0,'Текущие цены с учетом расхода'!Q6,""))</f>
        <v>6093.54</v>
      </c>
      <c r="J40" s="14" t="s">
        <v>57</v>
      </c>
      <c r="N40" s="23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</c>
    </row>
    <row r="41" spans="3:14" ht="10.5">
      <c r="C41" s="21" t="s">
        <v>58</v>
      </c>
      <c r="G41" s="1">
        <v>42.5</v>
      </c>
      <c r="H41" s="23">
        <f>IF('Текущие цены с учетом расхода'!O6&gt;0,'Текущие цены с учетом расхода'!O6,IF('Текущие цены с учетом расхода'!O6&lt;0,'Текущие цены с учетом расхода'!O6,""))</f>
        <v>3028.96</v>
      </c>
      <c r="J41" s="14" t="s">
        <v>59</v>
      </c>
      <c r="N41" s="23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</c>
    </row>
    <row r="42" spans="3:14" ht="10.5" hidden="1">
      <c r="C42" s="21" t="s">
        <v>60</v>
      </c>
      <c r="H42" s="23">
        <f>IF('Текущие цены с учетом расхода'!R6&gt;0,'Текущие цены с учетом расхода'!R6,IF('Текущие цены с учетом расхода'!R6&lt;0,'Текущие цены с учетом расхода'!R6,""))</f>
      </c>
      <c r="J42" s="14" t="s">
        <v>61</v>
      </c>
      <c r="N42" s="23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</c>
    </row>
    <row r="43" spans="3:14" ht="10.5" hidden="1">
      <c r="C43" s="21" t="s">
        <v>62</v>
      </c>
      <c r="G43" s="1">
        <v>42.5</v>
      </c>
      <c r="H43" s="23">
        <f>IF('Текущие цены с учетом расхода'!S6&gt;0,'Текущие цены с учетом расхода'!S6,IF('Текущие цены с учетом расхода'!S6&lt;0,'Текущие цены с учетом расхода'!S6,""))</f>
        <v>3028.95</v>
      </c>
      <c r="J43" s="14" t="s">
        <v>63</v>
      </c>
      <c r="N43" s="23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</c>
    </row>
    <row r="44" spans="3:8" ht="10.5">
      <c r="C44" s="21" t="s">
        <v>64</v>
      </c>
      <c r="H44" s="23">
        <f>ROUND(IF(H25="",0,H25)+IF(H38="",0,H38)+IF(H41="",0,H41),2)</f>
        <v>31047.71</v>
      </c>
    </row>
    <row r="45" spans="1:14" ht="21">
      <c r="A45" s="24" t="s">
        <v>65</v>
      </c>
      <c r="B45" s="24" t="s">
        <v>66</v>
      </c>
      <c r="C45" s="48" t="s">
        <v>634</v>
      </c>
      <c r="D45" s="25" t="s">
        <v>67</v>
      </c>
      <c r="E45" s="26"/>
      <c r="F45" s="27">
        <v>0.75</v>
      </c>
      <c r="G45" s="28">
        <f>ROUND(СУММПРОИЗВЕСЛИ(1,I45:I48,"s",E45:E48,G45:G48,0),2)</f>
        <v>17922.68</v>
      </c>
      <c r="H45" s="28">
        <f>ROUND(СУММПРОИЗВЕСЛИ(F45,I45:I48,"s",E45:E48,G45:G48,0),2)</f>
        <v>13442.01</v>
      </c>
      <c r="I45" s="1" t="s">
        <v>30</v>
      </c>
      <c r="M45" s="13">
        <f>ROUND(СУММПРОИЗВЕСЛИ(1,I45:I48,"s",E45:E48,M45:M48,0),2)</f>
        <v>0</v>
      </c>
      <c r="N45" s="13">
        <f>ROUND(СУММПРОИЗВЕСЛИ(F45,I45:I48,"s",E45:E48,M45:M48,0),2)</f>
        <v>0</v>
      </c>
    </row>
    <row r="46" ht="10.5" hidden="1">
      <c r="C46" s="29" t="s">
        <v>68</v>
      </c>
    </row>
    <row r="47" spans="1:14" ht="10.5" hidden="1">
      <c r="A47" s="14" t="s">
        <v>69</v>
      </c>
      <c r="B47" s="14" t="s">
        <v>32</v>
      </c>
      <c r="C47" s="14" t="s">
        <v>33</v>
      </c>
      <c r="D47" s="15" t="s">
        <v>70</v>
      </c>
      <c r="E47" s="1">
        <v>0</v>
      </c>
      <c r="F47" s="1">
        <v>0</v>
      </c>
      <c r="G47" s="16">
        <f>IF(F47=0,0,ROUND(H47/F47,3))</f>
        <v>0</v>
      </c>
      <c r="H47" s="17"/>
      <c r="J47" s="1" t="s">
        <v>35</v>
      </c>
      <c r="M47" s="16">
        <f>IF(F47=0,0,ROUND(N47/F47,3))</f>
        <v>0</v>
      </c>
      <c r="N47" s="17"/>
    </row>
    <row r="48" spans="1:14" ht="10.5">
      <c r="A48" s="14" t="s">
        <v>71</v>
      </c>
      <c r="B48" s="18" t="str">
        <f>ПОЛУЧШИФР(Ресурсы!A4,0)</f>
        <v>з000-1002-0</v>
      </c>
      <c r="C48" s="14" t="str">
        <f>Ресурсы!B4</f>
        <v>Рабочие-строители (средний разряд 2.0)</v>
      </c>
      <c r="D48" s="15" t="s">
        <v>34</v>
      </c>
      <c r="E48" s="1">
        <v>217.35</v>
      </c>
      <c r="F48" s="1">
        <f>ОКРУГЛВСЕ(IF(E48="",0,E48)*IF(F45="",0,F45),11)</f>
        <v>163.0125</v>
      </c>
      <c r="G48" s="16">
        <f>Ресурсы!D4</f>
        <v>82.46</v>
      </c>
      <c r="H48" s="17">
        <f>ROUND(IF(F48="",0,F48)*IF(G48="",0,G48),2)</f>
        <v>13442.01</v>
      </c>
      <c r="I48" s="1" t="s">
        <v>38</v>
      </c>
      <c r="J48" s="1" t="s">
        <v>72</v>
      </c>
      <c r="M48" s="16">
        <f>Ресурсы!C4</f>
        <v>0</v>
      </c>
      <c r="N48" s="17">
        <f>ROUND(IF(F48="",0,F48)*IF(M48="",0,M48),2)</f>
        <v>0</v>
      </c>
    </row>
    <row r="49" spans="3:8" ht="10.5" hidden="1">
      <c r="C49" s="21" t="s">
        <v>42</v>
      </c>
      <c r="H49" s="1">
        <v>13581.41</v>
      </c>
    </row>
    <row r="50" ht="10.5" hidden="1">
      <c r="C50" s="21" t="s">
        <v>43</v>
      </c>
    </row>
    <row r="51" ht="10.5" hidden="1">
      <c r="C51" s="21" t="s">
        <v>44</v>
      </c>
    </row>
    <row r="52" ht="10.5" hidden="1">
      <c r="C52" s="21" t="s">
        <v>45</v>
      </c>
    </row>
    <row r="53" ht="10.5" hidden="1">
      <c r="C53" s="21" t="s">
        <v>46</v>
      </c>
    </row>
    <row r="54" spans="3:13" ht="21" hidden="1">
      <c r="C54" s="21" t="s">
        <v>47</v>
      </c>
      <c r="G54" s="22"/>
      <c r="I54" s="1" t="s">
        <v>48</v>
      </c>
      <c r="M54" s="22"/>
    </row>
    <row r="55" ht="10.5" hidden="1">
      <c r="C55" s="21" t="s">
        <v>49</v>
      </c>
    </row>
    <row r="56" ht="10.5" hidden="1">
      <c r="C56" s="21" t="s">
        <v>50</v>
      </c>
    </row>
    <row r="57" ht="10.5" hidden="1">
      <c r="C57" s="21" t="s">
        <v>51</v>
      </c>
    </row>
    <row r="58" spans="3:14" ht="10.5">
      <c r="C58" s="21" t="s">
        <v>52</v>
      </c>
      <c r="G58" s="1">
        <v>72</v>
      </c>
      <c r="H58" s="23">
        <f>IF('Текущие цены с учетом расхода'!N7&gt;0,'Текущие цены с учетом расхода'!N7,IF('Текущие цены с учетом расхода'!N7&lt;0,'Текущие цены с учетом расхода'!N7,""))</f>
        <v>9678.25</v>
      </c>
      <c r="J58" s="14" t="s">
        <v>53</v>
      </c>
      <c r="N58" s="23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</row>
    <row r="59" spans="3:14" ht="10.5" hidden="1">
      <c r="C59" s="21" t="s">
        <v>54</v>
      </c>
      <c r="G59" s="1">
        <v>72</v>
      </c>
      <c r="H59" s="23">
        <f>IF('Текущие цены с учетом расхода'!P7&gt;0,'Текущие цены с учетом расхода'!P7,IF('Текущие цены с учетом расхода'!P7&lt;0,'Текущие цены с учетом расхода'!P7,""))</f>
        <v>9778.62</v>
      </c>
      <c r="J59" s="14" t="s">
        <v>55</v>
      </c>
      <c r="N59" s="23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</c>
    </row>
    <row r="60" spans="3:14" ht="10.5" hidden="1">
      <c r="C60" s="21" t="s">
        <v>56</v>
      </c>
      <c r="H60" s="23">
        <f>IF('Текущие цены с учетом расхода'!Q7&gt;0,'Текущие цены с учетом расхода'!Q7,IF('Текущие цены с учетом расхода'!Q7&lt;0,'Текущие цены с учетом расхода'!Q7,""))</f>
      </c>
      <c r="J60" s="14" t="s">
        <v>57</v>
      </c>
      <c r="N60" s="23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</c>
    </row>
    <row r="61" spans="3:14" ht="10.5">
      <c r="C61" s="21" t="s">
        <v>58</v>
      </c>
      <c r="G61" s="1">
        <v>38.25</v>
      </c>
      <c r="H61" s="23">
        <f>IF('Текущие цены с учетом расхода'!O7&gt;0,'Текущие цены с учетом расхода'!O7,IF('Текущие цены с учетом расхода'!O7&lt;0,'Текущие цены с учетом расхода'!O7,""))</f>
        <v>5141.57</v>
      </c>
      <c r="J61" s="14" t="s">
        <v>59</v>
      </c>
      <c r="N61" s="23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</row>
    <row r="62" spans="3:14" ht="10.5" hidden="1">
      <c r="C62" s="21" t="s">
        <v>60</v>
      </c>
      <c r="G62" s="1">
        <v>38.25</v>
      </c>
      <c r="H62" s="23">
        <f>IF('Текущие цены с учетом расхода'!R7&gt;0,'Текущие цены с учетом расхода'!R7,IF('Текущие цены с учетом расхода'!R7&lt;0,'Текущие цены с учетом расхода'!R7,""))</f>
        <v>5194.89</v>
      </c>
      <c r="J62" s="14" t="s">
        <v>61</v>
      </c>
      <c r="N62" s="23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</c>
    </row>
    <row r="63" spans="3:14" ht="10.5" hidden="1">
      <c r="C63" s="21" t="s">
        <v>62</v>
      </c>
      <c r="H63" s="23">
        <f>IF('Текущие цены с учетом расхода'!S7&gt;0,'Текущие цены с учетом расхода'!S7,IF('Текущие цены с учетом расхода'!S7&lt;0,'Текущие цены с учетом расхода'!S7,""))</f>
      </c>
      <c r="J63" s="14" t="s">
        <v>63</v>
      </c>
      <c r="N63" s="23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</c>
    </row>
    <row r="64" spans="3:8" ht="10.5">
      <c r="C64" s="21" t="s">
        <v>64</v>
      </c>
      <c r="H64" s="23">
        <f>ROUND(IF(H45="",0,H45)+IF(H58="",0,H58)+IF(H61="",0,H61),2)</f>
        <v>28261.83</v>
      </c>
    </row>
    <row r="65" spans="1:14" ht="31.5">
      <c r="A65" s="24" t="s">
        <v>73</v>
      </c>
      <c r="B65" s="24" t="s">
        <v>74</v>
      </c>
      <c r="C65" s="24" t="s">
        <v>75</v>
      </c>
      <c r="D65" s="25" t="s">
        <v>76</v>
      </c>
      <c r="E65" s="26"/>
      <c r="F65" s="27">
        <v>0.33</v>
      </c>
      <c r="G65" s="28">
        <f>ROUND(СУММПРОИЗВЕСЛИ(1,I65:I79,"s",E65:E79,G65:G79,0),2)</f>
        <v>35277.88</v>
      </c>
      <c r="H65" s="28">
        <f>ROUND(СУММПРОИЗВЕСЛИ(F65,I65:I79,"s",E65:E79,G65:G79,0),2)</f>
        <v>11641.7</v>
      </c>
      <c r="I65" s="1" t="s">
        <v>30</v>
      </c>
      <c r="M65" s="13">
        <f>ROUND(СУММПРОИЗВЕСЛИ(1,I65:I79,"s",E65:E79,M65:M79,0),2)</f>
        <v>0</v>
      </c>
      <c r="N65" s="13">
        <f>ROUND(СУММПРОИЗВЕСЛИ(F65,I65:I79,"s",E65:E79,M65:M79,0),2)</f>
        <v>0</v>
      </c>
    </row>
    <row r="66" spans="1:14" ht="10.5">
      <c r="A66" s="14" t="s">
        <v>77</v>
      </c>
      <c r="B66" s="14" t="s">
        <v>32</v>
      </c>
      <c r="C66" s="14" t="s">
        <v>33</v>
      </c>
      <c r="D66" s="15" t="s">
        <v>34</v>
      </c>
      <c r="E66" s="1">
        <f>ОКРУГЛВСЕ(СУММПРОИЗВЕСЛИ(1,K65:K79,"mWithZTM",D65:D79,E65:E79,-1)+СУММКОЭФПРОЦЕНТЕСЛИ(1,1,K65:K79,"mWithZTM_Proch",E65:E79,-1),11)</f>
        <v>27.8185</v>
      </c>
      <c r="F66" s="1">
        <f>ОКРУГЛВСЕ(СУММПРОИЗВЕСЛИ(1,K65:K79,"mWithZTM",D65:D79,F65:F79,-1)+СУММКОЭФПРОЦЕНТЕСЛИ(1,1,K65:K79,"mWithZTM_Proch",F65:F79,-1),11)</f>
        <v>9.180105</v>
      </c>
      <c r="G66" s="16">
        <f>IF(F66=0,0,ROUND(H66/F66,3))</f>
        <v>145.981</v>
      </c>
      <c r="H66" s="17">
        <f>ROUND(СУММЕСЛИДА1НЕ1(L65:L79,"mWithZPM",D65:D79,0,H65:H79),2)</f>
        <v>1340.12</v>
      </c>
      <c r="J66" s="1" t="s">
        <v>35</v>
      </c>
      <c r="M66" s="16">
        <f>IF(F66=0,0,ROUND(N66/F66,3))</f>
        <v>0</v>
      </c>
      <c r="N66" s="17">
        <f>ROUND(СУММЕСЛИДА1НЕ1(L65:L79,"mWithZPM",D65:D79,0,N65:N79),2)</f>
        <v>0</v>
      </c>
    </row>
    <row r="67" spans="1:14" ht="10.5">
      <c r="A67" s="14" t="s">
        <v>78</v>
      </c>
      <c r="B67" s="18" t="str">
        <f>ПОЛУЧШИФР(Ресурсы!A5,0)</f>
        <v>з000-1003-7</v>
      </c>
      <c r="C67" s="14" t="str">
        <f>Ресурсы!B5</f>
        <v>Рабочие-строители (средний разряд 3.7)</v>
      </c>
      <c r="D67" s="15" t="s">
        <v>34</v>
      </c>
      <c r="E67" s="1">
        <v>238.786</v>
      </c>
      <c r="F67" s="1">
        <f>ОКРУГЛВСЕ(IF(E67="",0,E67)*IF(F65="",0,F65),11)</f>
        <v>78.79938</v>
      </c>
      <c r="G67" s="16">
        <f>Ресурсы!D5</f>
        <v>98.42</v>
      </c>
      <c r="H67" s="17">
        <f>ROUND(IF(F67="",0,F67)*IF(G67="",0,G67),2)</f>
        <v>7755.43</v>
      </c>
      <c r="I67" s="1" t="s">
        <v>38</v>
      </c>
      <c r="J67" s="1" t="s">
        <v>72</v>
      </c>
      <c r="M67" s="16">
        <f>Ресурсы!C5</f>
        <v>0</v>
      </c>
      <c r="N67" s="17">
        <f>ROUND(IF(F67="",0,F67)*IF(M67="",0,M67),2)</f>
        <v>0</v>
      </c>
    </row>
    <row r="68" spans="1:14" ht="10.5">
      <c r="A68" s="72" t="s">
        <v>79</v>
      </c>
      <c r="B68" s="73" t="str">
        <f>ПОЛУЧШИФР(Ресурсы!A51,0)</f>
        <v>х02-1141</v>
      </c>
      <c r="C68" s="72" t="str">
        <f>Ресурсы!B51</f>
        <v>Краны на автомобильном ходу при работе на других видах строительства 10 т</v>
      </c>
      <c r="D68" s="19" t="s">
        <v>37</v>
      </c>
      <c r="E68" s="69">
        <v>0.138</v>
      </c>
      <c r="F68" s="69">
        <f>ОКРУГЛВСЕ(IF(E68="",0,E68)*IF(F65="",0,F65),11)</f>
        <v>0.04554</v>
      </c>
      <c r="G68" s="20">
        <f>Ресурсы!D51</f>
        <v>413.13</v>
      </c>
      <c r="H68" s="20">
        <f>ROUND(IF(F68="",0,F68)*IF(G68="",0,G68),2)</f>
        <v>18.81</v>
      </c>
      <c r="I68" s="1" t="s">
        <v>38</v>
      </c>
      <c r="J68" s="1" t="s">
        <v>39</v>
      </c>
      <c r="M68" s="20">
        <f>Ресурсы!C51</f>
        <v>0</v>
      </c>
      <c r="N68" s="20">
        <f>ROUND(IF(F68="",0,F68)*IF(M68="",0,M68),2)</f>
        <v>0</v>
      </c>
    </row>
    <row r="69" spans="1:14" ht="21">
      <c r="A69" s="72"/>
      <c r="B69" s="73"/>
      <c r="C69" s="72"/>
      <c r="D69" s="1">
        <f>Ресурсы!G51</f>
        <v>1</v>
      </c>
      <c r="E69" s="69"/>
      <c r="F69" s="69"/>
      <c r="G69" s="17">
        <f>Ресурсы!F51</f>
        <v>147.82</v>
      </c>
      <c r="H69" s="17">
        <f>ROUND(IF(F68="",0,F68)*IF(G69="",0,G69),2)</f>
        <v>6.73</v>
      </c>
      <c r="K69" s="1" t="s">
        <v>40</v>
      </c>
      <c r="L69" s="1" t="s">
        <v>41</v>
      </c>
      <c r="M69" s="17">
        <f>Ресурсы!E51</f>
        <v>0</v>
      </c>
      <c r="N69" s="17">
        <f>ROUND(IF(F68="",0,F68)*IF(M69="",0,M69),2)</f>
        <v>0</v>
      </c>
    </row>
    <row r="70" spans="1:14" ht="10.5">
      <c r="A70" s="72" t="s">
        <v>80</v>
      </c>
      <c r="B70" s="73" t="str">
        <f>ПОЛУЧШИФР(Ресурсы!A53,0)</f>
        <v>х04-0102</v>
      </c>
      <c r="C70" s="72" t="str">
        <f>Ресурсы!B53</f>
        <v>Электростанции передвижные 4 кВт</v>
      </c>
      <c r="D70" s="19" t="s">
        <v>37</v>
      </c>
      <c r="E70" s="69">
        <v>1.0695</v>
      </c>
      <c r="F70" s="69">
        <f>ОКРУГЛВСЕ(IF(E70="",0,E70)*IF(F65="",0,F65),11)</f>
        <v>0.352935</v>
      </c>
      <c r="G70" s="20">
        <f>Ресурсы!D53</f>
        <v>188.44</v>
      </c>
      <c r="H70" s="20">
        <f>ROUND(IF(F70="",0,F70)*IF(G70="",0,G70),2)</f>
        <v>66.51</v>
      </c>
      <c r="I70" s="1" t="s">
        <v>38</v>
      </c>
      <c r="J70" s="1" t="s">
        <v>39</v>
      </c>
      <c r="M70" s="20">
        <f>Ресурсы!C53</f>
        <v>0</v>
      </c>
      <c r="N70" s="20">
        <f>ROUND(IF(F70="",0,F70)*IF(M70="",0,M70),2)</f>
        <v>0</v>
      </c>
    </row>
    <row r="71" spans="1:14" ht="21">
      <c r="A71" s="72"/>
      <c r="B71" s="73"/>
      <c r="C71" s="72"/>
      <c r="D71" s="1">
        <f>Ресурсы!G53</f>
        <v>1</v>
      </c>
      <c r="E71" s="69"/>
      <c r="F71" s="69"/>
      <c r="G71" s="17">
        <f>Ресурсы!F53</f>
        <v>127.02</v>
      </c>
      <c r="H71" s="17">
        <f>ROUND(IF(F70="",0,F70)*IF(G71="",0,G71),2)</f>
        <v>44.83</v>
      </c>
      <c r="K71" s="1" t="s">
        <v>40</v>
      </c>
      <c r="L71" s="1" t="s">
        <v>41</v>
      </c>
      <c r="M71" s="17">
        <f>Ресурсы!E53</f>
        <v>0</v>
      </c>
      <c r="N71" s="17">
        <f>ROUND(IF(F70="",0,F70)*IF(M71="",0,M71),2)</f>
        <v>0</v>
      </c>
    </row>
    <row r="72" spans="1:14" ht="31.5">
      <c r="A72" s="14" t="s">
        <v>81</v>
      </c>
      <c r="B72" s="18" t="str">
        <f>ПОЛУЧШИФР(Ресурсы!A59,0)</f>
        <v>х04-2901</v>
      </c>
      <c r="C72" s="14" t="str">
        <f>Ресурсы!B59</f>
        <v>Установки для гидравлических испытаний трубопроводов, давление нагнетания, низкое 0,1 (1) МПа (кгс/см2), высокое 10 (100) МПа (кгс/см2) при работе от передвижных электростанций</v>
      </c>
      <c r="D72" s="15" t="s">
        <v>37</v>
      </c>
      <c r="E72" s="1">
        <v>9.2</v>
      </c>
      <c r="F72" s="1">
        <f>ОКРУГЛВСЕ(IF(E72="",0,E72)*IF(F65="",0,F65),11)</f>
        <v>3.036</v>
      </c>
      <c r="G72" s="17">
        <f>Ресурсы!D59</f>
        <v>108.13</v>
      </c>
      <c r="H72" s="17">
        <f>ROUND(IF(F72="",0,F72)*IF(G72="",0,G72),2)</f>
        <v>328.28</v>
      </c>
      <c r="I72" s="1" t="s">
        <v>38</v>
      </c>
      <c r="J72" s="1" t="s">
        <v>39</v>
      </c>
      <c r="M72" s="17">
        <f>Ресурсы!C59</f>
        <v>0</v>
      </c>
      <c r="N72" s="17">
        <f>ROUND(IF(F72="",0,F72)*IF(M72="",0,M72),2)</f>
        <v>0</v>
      </c>
    </row>
    <row r="73" spans="1:14" ht="10.5">
      <c r="A73" s="72" t="s">
        <v>82</v>
      </c>
      <c r="B73" s="73" t="str">
        <f>ПОЛУЧШИФР(Ресурсы!A63,0)</f>
        <v>х08-1600</v>
      </c>
      <c r="C73" s="72" t="str">
        <f>Ресурсы!B63</f>
        <v>Агрегаты для сварки полиэтиленовых труб</v>
      </c>
      <c r="D73" s="19" t="s">
        <v>37</v>
      </c>
      <c r="E73" s="69">
        <v>26.4155</v>
      </c>
      <c r="F73" s="69">
        <f>ОКРУГЛВСЕ(IF(E73="",0,E73)*IF(F65="",0,F65),11)</f>
        <v>8.717115</v>
      </c>
      <c r="G73" s="20">
        <f>Ресурсы!D63</f>
        <v>391.62</v>
      </c>
      <c r="H73" s="20">
        <f>ROUND(IF(F73="",0,F73)*IF(G73="",0,G73),2)</f>
        <v>3413.8</v>
      </c>
      <c r="I73" s="1" t="s">
        <v>38</v>
      </c>
      <c r="J73" s="1" t="s">
        <v>39</v>
      </c>
      <c r="M73" s="20">
        <f>Ресурсы!C63</f>
        <v>0</v>
      </c>
      <c r="N73" s="20">
        <f>ROUND(IF(F73="",0,F73)*IF(M73="",0,M73),2)</f>
        <v>0</v>
      </c>
    </row>
    <row r="74" spans="1:14" ht="21">
      <c r="A74" s="72"/>
      <c r="B74" s="73"/>
      <c r="C74" s="72"/>
      <c r="D74" s="1">
        <f>Ресурсы!G63</f>
        <v>1</v>
      </c>
      <c r="E74" s="69"/>
      <c r="F74" s="69"/>
      <c r="G74" s="17">
        <f>Ресурсы!F63</f>
        <v>147.82</v>
      </c>
      <c r="H74" s="17">
        <f>ROUND(IF(F73="",0,F73)*IF(G74="",0,G74),2)</f>
        <v>1288.56</v>
      </c>
      <c r="K74" s="1" t="s">
        <v>40</v>
      </c>
      <c r="L74" s="1" t="s">
        <v>41</v>
      </c>
      <c r="M74" s="17">
        <f>Ресурсы!E63</f>
        <v>0</v>
      </c>
      <c r="N74" s="17">
        <f>ROUND(IF(F73="",0,F73)*IF(M74="",0,M74),2)</f>
        <v>0</v>
      </c>
    </row>
    <row r="75" spans="1:14" ht="10.5">
      <c r="A75" s="72" t="s">
        <v>83</v>
      </c>
      <c r="B75" s="73" t="str">
        <f>ПОЛУЧШИФР(Ресурсы!A69,0)</f>
        <v>х40-0001</v>
      </c>
      <c r="C75" s="72" t="str">
        <f>Ресурсы!B69</f>
        <v>Автомобили бортовые грузоподъемностью до 5 т</v>
      </c>
      <c r="D75" s="19" t="s">
        <v>37</v>
      </c>
      <c r="E75" s="69">
        <v>0.1955</v>
      </c>
      <c r="F75" s="69">
        <f>ОКРУГЛВСЕ(IF(E75="",0,E75)*IF(F65="",0,F65),11)</f>
        <v>0.064515</v>
      </c>
      <c r="G75" s="20">
        <f>Ресурсы!D69</f>
        <v>410.49</v>
      </c>
      <c r="H75" s="20">
        <f>ROUND(IF(F75="",0,F75)*IF(G75="",0,G75),2)</f>
        <v>26.48</v>
      </c>
      <c r="I75" s="1" t="s">
        <v>38</v>
      </c>
      <c r="J75" s="1" t="s">
        <v>39</v>
      </c>
      <c r="M75" s="20">
        <f>Ресурсы!C69</f>
        <v>0</v>
      </c>
      <c r="N75" s="20">
        <f>ROUND(IF(F75="",0,F75)*IF(M75="",0,M75),2)</f>
        <v>0</v>
      </c>
    </row>
    <row r="76" spans="1:14" ht="21">
      <c r="A76" s="72"/>
      <c r="B76" s="73"/>
      <c r="C76" s="72"/>
      <c r="D76" s="1">
        <f>Ресурсы!G69</f>
        <v>1</v>
      </c>
      <c r="E76" s="69"/>
      <c r="F76" s="69"/>
      <c r="G76" s="17">
        <f>Ресурсы!F69</f>
        <v>0</v>
      </c>
      <c r="H76" s="17">
        <f>ROUND(IF(F75="",0,F75)*IF(G76="",0,G76),2)</f>
        <v>0</v>
      </c>
      <c r="K76" s="1" t="s">
        <v>40</v>
      </c>
      <c r="L76" s="1" t="s">
        <v>41</v>
      </c>
      <c r="M76" s="17">
        <f>Ресурсы!E69</f>
        <v>0</v>
      </c>
      <c r="N76" s="17">
        <f>ROUND(IF(F75="",0,F75)*IF(M76="",0,M76),2)</f>
        <v>0</v>
      </c>
    </row>
    <row r="77" spans="1:14" ht="10.5">
      <c r="A77" s="14" t="s">
        <v>84</v>
      </c>
      <c r="B77" s="18" t="str">
        <f>ПОЛУЧШИФР(Ресурсы!A18,0)</f>
        <v>с101-1742</v>
      </c>
      <c r="C77" s="14" t="str">
        <f>Ресурсы!B18</f>
        <v>Толь с крупнозернистой посыпкой гидроизоляционный марки ТГ-350</v>
      </c>
      <c r="D77" s="15" t="s">
        <v>85</v>
      </c>
      <c r="E77" s="1">
        <v>0.22</v>
      </c>
      <c r="F77" s="1">
        <f>ОКРУГЛВСЕ(IF(E77="",0,E77)*IF(F65="",0,F65),11)</f>
        <v>0.0726</v>
      </c>
      <c r="G77" s="17">
        <f>ROUND(Ресурсы!D18*Начисления!AV8,2)</f>
        <v>23.14</v>
      </c>
      <c r="H77" s="17">
        <f>ROUND(IF(F77="",0,F77)*IF(G77="",0,G77),2)</f>
        <v>1.68</v>
      </c>
      <c r="I77" s="1" t="s">
        <v>38</v>
      </c>
      <c r="J77" s="1" t="s">
        <v>86</v>
      </c>
      <c r="M77" s="17">
        <f>ROUND(Ресурсы!C18*Начисления!AV8,2)</f>
        <v>0</v>
      </c>
      <c r="N77" s="17">
        <f>ROUND(IF(F77="",0,F77)*IF(M77="",0,M77),2)</f>
        <v>0</v>
      </c>
    </row>
    <row r="78" spans="1:14" ht="9.75" customHeight="1">
      <c r="A78" s="14" t="s">
        <v>87</v>
      </c>
      <c r="B78" s="18" t="str">
        <f>ПОЛУЧШИФР(Ресурсы!A34,0)</f>
        <v>с411-0001</v>
      </c>
      <c r="C78" s="14" t="str">
        <f>Ресурсы!B34</f>
        <v>Вода</v>
      </c>
      <c r="D78" s="15" t="s">
        <v>88</v>
      </c>
      <c r="E78" s="1">
        <v>8</v>
      </c>
      <c r="F78" s="1">
        <f>ОКРУГЛВСЕ(IF(E78="",0,E78)*IF(F65="",0,F65),11)</f>
        <v>2.64</v>
      </c>
      <c r="G78" s="17">
        <f>ROUND(Ресурсы!D34*Начисления!AV8,2)</f>
        <v>11.63</v>
      </c>
      <c r="H78" s="17">
        <f>ROUND(IF(F78="",0,F78)*IF(G78="",0,G78),2)</f>
        <v>30.7</v>
      </c>
      <c r="I78" s="1" t="s">
        <v>38</v>
      </c>
      <c r="J78" s="1" t="s">
        <v>86</v>
      </c>
      <c r="M78" s="17">
        <f>ROUND(Ресурсы!C34*Начисления!AV8,2)</f>
        <v>0</v>
      </c>
      <c r="N78" s="17">
        <f>ROUND(IF(F78="",0,F78)*IF(M78="",0,M78),2)</f>
        <v>0</v>
      </c>
    </row>
    <row r="79" spans="1:14" ht="10.5" hidden="1">
      <c r="A79" s="14" t="s">
        <v>89</v>
      </c>
      <c r="B79" s="18" t="str">
        <f>ПОЛУЧШИФР(Ресурсы!A38,0)</f>
        <v>с530-9001</v>
      </c>
      <c r="C79" s="14" t="str">
        <f>Ресурсы!B38</f>
        <v>Трубы полиэтиленовые</v>
      </c>
      <c r="D79" s="15" t="s">
        <v>90</v>
      </c>
      <c r="E79" s="1">
        <v>1010</v>
      </c>
      <c r="F79" s="1">
        <f>ОКРУГЛВСЕ(IF(E79="",0,E79)*IF(F65="",0,F65),11)</f>
        <v>333.3</v>
      </c>
      <c r="G79" s="17">
        <f>ROUND(Ресурсы!D38*Начисления!AV8,2)</f>
        <v>0</v>
      </c>
      <c r="H79" s="17">
        <f>ROUND(IF(F79="",0,F79)*IF(G79="",0,G79),2)</f>
        <v>0</v>
      </c>
      <c r="I79" s="1" t="s">
        <v>38</v>
      </c>
      <c r="J79" s="1" t="s">
        <v>86</v>
      </c>
      <c r="M79" s="17">
        <f>ROUND(Ресурсы!C38*Начисления!AV8,2)</f>
        <v>0</v>
      </c>
      <c r="N79" s="17">
        <f>ROUND(IF(F79="",0,F79)*IF(M79="",0,M79),2)</f>
        <v>0</v>
      </c>
    </row>
    <row r="80" spans="3:8" ht="10.5" hidden="1">
      <c r="C80" s="21" t="s">
        <v>42</v>
      </c>
      <c r="H80" s="1">
        <v>7755.43</v>
      </c>
    </row>
    <row r="81" spans="3:8" ht="10.5" hidden="1">
      <c r="C81" s="21" t="s">
        <v>43</v>
      </c>
      <c r="H81" s="1">
        <v>3853.88</v>
      </c>
    </row>
    <row r="82" spans="3:8" ht="10.5" hidden="1">
      <c r="C82" s="21" t="s">
        <v>44</v>
      </c>
      <c r="H82" s="1">
        <v>1340.13</v>
      </c>
    </row>
    <row r="83" spans="3:8" ht="10.5" hidden="1">
      <c r="C83" s="21" t="s">
        <v>45</v>
      </c>
      <c r="H83" s="1">
        <v>32.38</v>
      </c>
    </row>
    <row r="84" ht="10.5" hidden="1">
      <c r="C84" s="21" t="s">
        <v>46</v>
      </c>
    </row>
    <row r="85" spans="3:13" ht="21" hidden="1">
      <c r="C85" s="21" t="s">
        <v>47</v>
      </c>
      <c r="G85" s="22"/>
      <c r="I85" s="1" t="s">
        <v>48</v>
      </c>
      <c r="M85" s="22"/>
    </row>
    <row r="86" ht="10.5" hidden="1">
      <c r="C86" s="21" t="s">
        <v>49</v>
      </c>
    </row>
    <row r="87" ht="10.5" hidden="1">
      <c r="C87" s="21" t="s">
        <v>50</v>
      </c>
    </row>
    <row r="88" ht="10.5" hidden="1">
      <c r="C88" s="21" t="s">
        <v>51</v>
      </c>
    </row>
    <row r="89" spans="3:14" ht="10.5">
      <c r="C89" s="21" t="s">
        <v>52</v>
      </c>
      <c r="G89" s="1">
        <v>117</v>
      </c>
      <c r="H89" s="23">
        <f>IF('Текущие цены с учетом расхода'!N8&gt;0,'Текущие цены с учетом расхода'!N8,IF('Текущие цены с учетом расхода'!N8&lt;0,'Текущие цены с учетом расхода'!N8,""))</f>
        <v>10641.79</v>
      </c>
      <c r="J89" s="14" t="s">
        <v>53</v>
      </c>
      <c r="N89" s="23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</row>
    <row r="90" spans="3:14" ht="10.5" hidden="1">
      <c r="C90" s="21" t="s">
        <v>54</v>
      </c>
      <c r="G90" s="1">
        <v>117</v>
      </c>
      <c r="H90" s="23">
        <f>IF('Текущие цены с учетом расхода'!P8&gt;0,'Текущие цены с учетом расхода'!P8,IF('Текущие цены с учетом расхода'!P8&lt;0,'Текущие цены с учетом расхода'!P8,""))</f>
        <v>9073.86</v>
      </c>
      <c r="J90" s="14" t="s">
        <v>55</v>
      </c>
      <c r="N90" s="23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</row>
    <row r="91" spans="3:14" ht="10.5" hidden="1">
      <c r="C91" s="21" t="s">
        <v>56</v>
      </c>
      <c r="G91" s="1">
        <v>117</v>
      </c>
      <c r="H91" s="23">
        <f>IF('Текущие цены с учетом расхода'!Q8&gt;0,'Текущие цены с учетом расхода'!Q8,IF('Текущие цены с учетом расхода'!Q8&lt;0,'Текущие цены с учетом расхода'!Q8,""))</f>
        <v>1567.95</v>
      </c>
      <c r="J91" s="14" t="s">
        <v>57</v>
      </c>
      <c r="N91" s="23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</row>
    <row r="92" spans="3:14" ht="10.5">
      <c r="C92" s="21" t="s">
        <v>58</v>
      </c>
      <c r="G92" s="1">
        <v>75.65</v>
      </c>
      <c r="H92" s="23">
        <f>IF('Текущие цены с учетом расхода'!O8&gt;0,'Текущие цены с учетом расхода'!O8,IF('Текущие цены с учетом расхода'!O8&lt;0,'Текущие цены с учетом расхода'!O8,""))</f>
        <v>6880.78</v>
      </c>
      <c r="J92" s="14" t="s">
        <v>59</v>
      </c>
      <c r="N92" s="23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</row>
    <row r="93" spans="3:14" ht="10.5" hidden="1">
      <c r="C93" s="21" t="s">
        <v>60</v>
      </c>
      <c r="G93" s="1">
        <v>75.65</v>
      </c>
      <c r="H93" s="23">
        <f>IF('Текущие цены с учетом расхода'!R8&gt;0,'Текущие цены с учетом расхода'!R8,IF('Текущие цены с учетом расхода'!R8&lt;0,'Текущие цены с учетом расхода'!R8,""))</f>
        <v>5866.99</v>
      </c>
      <c r="J93" s="14" t="s">
        <v>61</v>
      </c>
      <c r="N93" s="23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</row>
    <row r="94" spans="3:14" ht="10.5" hidden="1">
      <c r="C94" s="21" t="s">
        <v>62</v>
      </c>
      <c r="G94" s="1">
        <v>75.65</v>
      </c>
      <c r="H94" s="23">
        <f>IF('Текущие цены с учетом расхода'!S8&gt;0,'Текущие цены с учетом расхода'!S8,IF('Текущие цены с учетом расхода'!S8&lt;0,'Текущие цены с учетом расхода'!S8,""))</f>
        <v>1013.81</v>
      </c>
      <c r="J94" s="14" t="s">
        <v>63</v>
      </c>
      <c r="N94" s="23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</row>
    <row r="95" spans="3:8" ht="10.5">
      <c r="C95" s="21" t="s">
        <v>64</v>
      </c>
      <c r="H95" s="23">
        <f>ROUND(IF(H65="",0,H65)+IF(H89="",0,H89)+IF(H92="",0,H92),2)</f>
        <v>29164.27</v>
      </c>
    </row>
    <row r="96" spans="1:14" ht="19.5" customHeight="1">
      <c r="A96" s="24" t="s">
        <v>91</v>
      </c>
      <c r="B96" s="24" t="s">
        <v>66</v>
      </c>
      <c r="C96" s="48" t="s">
        <v>634</v>
      </c>
      <c r="D96" s="25" t="s">
        <v>67</v>
      </c>
      <c r="E96" s="26"/>
      <c r="F96" s="27">
        <v>0.45</v>
      </c>
      <c r="G96" s="28">
        <f>ROUND(СУММПРОИЗВЕСЛИ(1,I96:I99,"s",E96:E99,G96:G99,0),2)</f>
        <v>17922.68</v>
      </c>
      <c r="H96" s="28">
        <f>ROUND(СУММПРОИЗВЕСЛИ(F96,I96:I99,"s",E96:E99,G96:G99,0),2)</f>
        <v>8065.21</v>
      </c>
      <c r="I96" s="1" t="s">
        <v>30</v>
      </c>
      <c r="M96" s="13">
        <f>ROUND(СУММПРОИЗВЕСЛИ(1,I96:I99,"s",E96:E99,M96:M99,0),2)</f>
        <v>0</v>
      </c>
      <c r="N96" s="13">
        <f>ROUND(СУММПРОИЗВЕСЛИ(F96,I96:I99,"s",E96:E99,M96:M99,0),2)</f>
        <v>0</v>
      </c>
    </row>
    <row r="97" ht="10.5" hidden="1">
      <c r="C97" s="29" t="s">
        <v>68</v>
      </c>
    </row>
    <row r="98" spans="1:14" ht="10.5" hidden="1">
      <c r="A98" s="14" t="s">
        <v>92</v>
      </c>
      <c r="B98" s="14" t="s">
        <v>32</v>
      </c>
      <c r="C98" s="14" t="s">
        <v>33</v>
      </c>
      <c r="D98" s="15" t="s">
        <v>70</v>
      </c>
      <c r="E98" s="1">
        <v>0</v>
      </c>
      <c r="F98" s="1">
        <v>0</v>
      </c>
      <c r="G98" s="16">
        <f>IF(F98=0,0,ROUND(H98/F98,3))</f>
        <v>0</v>
      </c>
      <c r="H98" s="17"/>
      <c r="J98" s="1" t="s">
        <v>35</v>
      </c>
      <c r="M98" s="16">
        <f>IF(F98=0,0,ROUND(N98/F98,3))</f>
        <v>0</v>
      </c>
      <c r="N98" s="17"/>
    </row>
    <row r="99" spans="1:14" ht="10.5">
      <c r="A99" s="14" t="s">
        <v>93</v>
      </c>
      <c r="B99" s="18" t="str">
        <f>ПОЛУЧШИФР(Ресурсы!A4,0)</f>
        <v>з000-1002-0</v>
      </c>
      <c r="C99" s="14" t="str">
        <f>Ресурсы!B4</f>
        <v>Рабочие-строители (средний разряд 2.0)</v>
      </c>
      <c r="D99" s="15" t="s">
        <v>34</v>
      </c>
      <c r="E99" s="1">
        <v>217.35</v>
      </c>
      <c r="F99" s="1">
        <f>ОКРУГЛВСЕ(IF(E99="",0,E99)*IF(F96="",0,F96),11)</f>
        <v>97.8075</v>
      </c>
      <c r="G99" s="16">
        <f>Ресурсы!D4</f>
        <v>82.46</v>
      </c>
      <c r="H99" s="17">
        <f>ROUND(IF(F99="",0,F99)*IF(G99="",0,G99),2)</f>
        <v>8065.21</v>
      </c>
      <c r="I99" s="1" t="s">
        <v>38</v>
      </c>
      <c r="J99" s="1" t="s">
        <v>72</v>
      </c>
      <c r="M99" s="16">
        <f>Ресурсы!C4</f>
        <v>0</v>
      </c>
      <c r="N99" s="17">
        <f>ROUND(IF(F99="",0,F99)*IF(M99="",0,M99),2)</f>
        <v>0</v>
      </c>
    </row>
    <row r="100" spans="3:8" ht="10.5" hidden="1">
      <c r="C100" s="21" t="s">
        <v>42</v>
      </c>
      <c r="H100" s="1">
        <v>8148.85</v>
      </c>
    </row>
    <row r="101" ht="10.5" hidden="1">
      <c r="C101" s="21" t="s">
        <v>43</v>
      </c>
    </row>
    <row r="102" ht="10.5" hidden="1">
      <c r="C102" s="21" t="s">
        <v>44</v>
      </c>
    </row>
    <row r="103" ht="10.5" hidden="1">
      <c r="C103" s="21" t="s">
        <v>45</v>
      </c>
    </row>
    <row r="104" ht="10.5" hidden="1">
      <c r="C104" s="21" t="s">
        <v>46</v>
      </c>
    </row>
    <row r="105" spans="3:13" ht="21" hidden="1">
      <c r="C105" s="21" t="s">
        <v>47</v>
      </c>
      <c r="G105" s="22"/>
      <c r="I105" s="1" t="s">
        <v>48</v>
      </c>
      <c r="M105" s="22"/>
    </row>
    <row r="106" ht="10.5" hidden="1">
      <c r="C106" s="21" t="s">
        <v>49</v>
      </c>
    </row>
    <row r="107" ht="10.5" hidden="1">
      <c r="C107" s="21" t="s">
        <v>50</v>
      </c>
    </row>
    <row r="108" ht="10.5" hidden="1">
      <c r="C108" s="21" t="s">
        <v>51</v>
      </c>
    </row>
    <row r="109" spans="3:14" ht="10.5">
      <c r="C109" s="21" t="s">
        <v>52</v>
      </c>
      <c r="G109" s="1">
        <v>72</v>
      </c>
      <c r="H109" s="23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5806.95</v>
      </c>
      <c r="J109" s="14" t="s">
        <v>53</v>
      </c>
      <c r="N109" s="23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</row>
    <row r="110" spans="3:14" ht="10.5" hidden="1">
      <c r="C110" s="21" t="s">
        <v>54</v>
      </c>
      <c r="G110" s="1">
        <v>72</v>
      </c>
      <c r="H110" s="23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5867.17</v>
      </c>
      <c r="J110" s="14" t="s">
        <v>55</v>
      </c>
      <c r="N110" s="23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</c>
    </row>
    <row r="111" spans="3:14" ht="10.5" hidden="1">
      <c r="C111" s="21" t="s">
        <v>56</v>
      </c>
      <c r="H111" s="23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</c>
      <c r="J111" s="14" t="s">
        <v>57</v>
      </c>
      <c r="N111" s="23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</row>
    <row r="112" spans="3:14" ht="10.5">
      <c r="C112" s="21" t="s">
        <v>58</v>
      </c>
      <c r="G112" s="1">
        <v>38.25</v>
      </c>
      <c r="H112" s="23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3084.94</v>
      </c>
      <c r="J112" s="14" t="s">
        <v>59</v>
      </c>
      <c r="N112" s="23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</row>
    <row r="113" spans="3:14" ht="10.5" hidden="1">
      <c r="C113" s="21" t="s">
        <v>60</v>
      </c>
      <c r="G113" s="1">
        <v>38.25</v>
      </c>
      <c r="H113" s="23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3116.93</v>
      </c>
      <c r="J113" s="14" t="s">
        <v>61</v>
      </c>
      <c r="N113" s="23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</c>
    </row>
    <row r="114" spans="3:14" ht="10.5" hidden="1">
      <c r="C114" s="21" t="s">
        <v>62</v>
      </c>
      <c r="H114" s="23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</c>
      <c r="J114" s="14" t="s">
        <v>63</v>
      </c>
      <c r="N114" s="23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</row>
    <row r="115" spans="3:8" ht="10.5">
      <c r="C115" s="21" t="s">
        <v>64</v>
      </c>
      <c r="H115" s="23">
        <f>ROUND(IF(H96="",0,H96)+IF(H109="",0,H109)+IF(H112="",0,H112),2)</f>
        <v>16957.1</v>
      </c>
    </row>
    <row r="116" spans="1:14" ht="21">
      <c r="A116" s="24" t="s">
        <v>94</v>
      </c>
      <c r="B116" s="24" t="s">
        <v>95</v>
      </c>
      <c r="C116" s="24" t="s">
        <v>96</v>
      </c>
      <c r="D116" s="25" t="s">
        <v>67</v>
      </c>
      <c r="E116" s="26"/>
      <c r="F116" s="27">
        <v>0.45</v>
      </c>
      <c r="G116" s="28">
        <f>ROUND(СУММПРОИЗВЕСЛИ(1,I116:I118,"s",E116:E118,G116:G118,0),2)</f>
        <v>8856.33</v>
      </c>
      <c r="H116" s="28">
        <f>ROUND(СУММПРОИЗВЕСЛИ(F116,I116:I118,"s",E116:E118,G116:G118,0),2)</f>
        <v>3985.35</v>
      </c>
      <c r="I116" s="1" t="s">
        <v>30</v>
      </c>
      <c r="M116" s="13">
        <f>ROUND(СУММПРОИЗВЕСЛИ(1,I116:I118,"s",E116:E118,M116:M118,0),2)</f>
        <v>0</v>
      </c>
      <c r="N116" s="13">
        <f>ROUND(СУММПРОИЗВЕСЛИ(F116,I116:I118,"s",E116:E118,M116:M118,0),2)</f>
        <v>0</v>
      </c>
    </row>
    <row r="117" spans="1:14" ht="10.5" hidden="1">
      <c r="A117" s="14" t="s">
        <v>97</v>
      </c>
      <c r="B117" s="14" t="s">
        <v>32</v>
      </c>
      <c r="C117" s="14" t="s">
        <v>33</v>
      </c>
      <c r="D117" s="15" t="s">
        <v>70</v>
      </c>
      <c r="E117" s="1">
        <v>0</v>
      </c>
      <c r="F117" s="1">
        <v>0</v>
      </c>
      <c r="G117" s="16">
        <f>IF(F117=0,0,ROUND(H117/F117,3))</f>
        <v>0</v>
      </c>
      <c r="H117" s="17"/>
      <c r="J117" s="1" t="s">
        <v>35</v>
      </c>
      <c r="M117" s="16">
        <f>IF(F117=0,0,ROUND(N117/F117,3))</f>
        <v>0</v>
      </c>
      <c r="N117" s="17"/>
    </row>
    <row r="118" spans="1:14" ht="10.5">
      <c r="A118" s="14" t="s">
        <v>98</v>
      </c>
      <c r="B118" s="18" t="str">
        <f>ПОЛУЧШИФР(Ресурсы!A3,0)</f>
        <v>з000-1001-5</v>
      </c>
      <c r="C118" s="14" t="str">
        <f>Ресурсы!B3</f>
        <v>Рабочие-строители (средний разряд 1.5)</v>
      </c>
      <c r="D118" s="15" t="s">
        <v>34</v>
      </c>
      <c r="E118" s="1">
        <v>111.78</v>
      </c>
      <c r="F118" s="1">
        <f>ОКРУГЛВСЕ(IF(E118="",0,E118)*IF(F116="",0,F116),11)</f>
        <v>50.301</v>
      </c>
      <c r="G118" s="16">
        <f>Ресурсы!D3</f>
        <v>79.23</v>
      </c>
      <c r="H118" s="17">
        <f>ROUND(IF(F118="",0,F118)*IF(G118="",0,G118),2)</f>
        <v>3985.35</v>
      </c>
      <c r="I118" s="1" t="s">
        <v>38</v>
      </c>
      <c r="J118" s="1" t="s">
        <v>72</v>
      </c>
      <c r="M118" s="16">
        <f>Ресурсы!C3</f>
        <v>0</v>
      </c>
      <c r="N118" s="17">
        <f>ROUND(IF(F118="",0,F118)*IF(M118="",0,M118),2)</f>
        <v>0</v>
      </c>
    </row>
    <row r="119" spans="3:8" ht="10.5" hidden="1">
      <c r="C119" s="21" t="s">
        <v>42</v>
      </c>
      <c r="H119" s="1">
        <v>3985.35</v>
      </c>
    </row>
    <row r="120" ht="10.5" hidden="1">
      <c r="C120" s="21" t="s">
        <v>43</v>
      </c>
    </row>
    <row r="121" ht="10.5" hidden="1">
      <c r="C121" s="21" t="s">
        <v>44</v>
      </c>
    </row>
    <row r="122" ht="10.5" hidden="1">
      <c r="C122" s="21" t="s">
        <v>45</v>
      </c>
    </row>
    <row r="123" ht="10.5" hidden="1">
      <c r="C123" s="21" t="s">
        <v>46</v>
      </c>
    </row>
    <row r="124" spans="3:13" ht="21" hidden="1">
      <c r="C124" s="21" t="s">
        <v>47</v>
      </c>
      <c r="G124" s="22"/>
      <c r="I124" s="1" t="s">
        <v>48</v>
      </c>
      <c r="M124" s="22"/>
    </row>
    <row r="125" ht="10.5" hidden="1">
      <c r="C125" s="21" t="s">
        <v>49</v>
      </c>
    </row>
    <row r="126" ht="10.5" hidden="1">
      <c r="C126" s="21" t="s">
        <v>50</v>
      </c>
    </row>
    <row r="127" ht="10.5" hidden="1">
      <c r="C127" s="21" t="s">
        <v>51</v>
      </c>
    </row>
    <row r="128" spans="3:14" ht="10.5">
      <c r="C128" s="21" t="s">
        <v>52</v>
      </c>
      <c r="G128" s="1">
        <v>72</v>
      </c>
      <c r="H128" s="23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  <v>2869.45</v>
      </c>
      <c r="J128" s="14" t="s">
        <v>53</v>
      </c>
      <c r="N128" s="23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</row>
    <row r="129" spans="3:14" ht="10.5" hidden="1">
      <c r="C129" s="21" t="s">
        <v>54</v>
      </c>
      <c r="G129" s="1">
        <v>72</v>
      </c>
      <c r="H129" s="23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  <v>2869.45</v>
      </c>
      <c r="J129" s="14" t="s">
        <v>55</v>
      </c>
      <c r="N129" s="23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</row>
    <row r="130" spans="3:14" ht="10.5" hidden="1">
      <c r="C130" s="21" t="s">
        <v>56</v>
      </c>
      <c r="H130" s="23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J130" s="14" t="s">
        <v>57</v>
      </c>
      <c r="N130" s="23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</row>
    <row r="131" spans="3:14" ht="10.5">
      <c r="C131" s="21" t="s">
        <v>58</v>
      </c>
      <c r="G131" s="1">
        <v>38.25</v>
      </c>
      <c r="H131" s="23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  <v>1524.4</v>
      </c>
      <c r="J131" s="14" t="s">
        <v>59</v>
      </c>
      <c r="N131" s="23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</row>
    <row r="132" spans="3:14" ht="10.5" hidden="1">
      <c r="C132" s="21" t="s">
        <v>60</v>
      </c>
      <c r="G132" s="1">
        <v>38.25</v>
      </c>
      <c r="H132" s="23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  <v>1524.4</v>
      </c>
      <c r="J132" s="14" t="s">
        <v>61</v>
      </c>
      <c r="N132" s="23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</row>
    <row r="133" spans="3:14" ht="10.5" hidden="1">
      <c r="C133" s="21" t="s">
        <v>62</v>
      </c>
      <c r="H133" s="23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J133" s="14" t="s">
        <v>63</v>
      </c>
      <c r="N133" s="23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</row>
    <row r="134" spans="3:8" ht="10.5">
      <c r="C134" s="21" t="s">
        <v>64</v>
      </c>
      <c r="H134" s="23">
        <f>ROUND(IF(H116="",0,H116)+IF(H128="",0,H128)+IF(H131="",0,H131),2)</f>
        <v>8379.2</v>
      </c>
    </row>
    <row r="135" spans="1:14" ht="21">
      <c r="A135" s="24" t="s">
        <v>99</v>
      </c>
      <c r="B135" s="24" t="s">
        <v>100</v>
      </c>
      <c r="C135" s="48" t="s">
        <v>635</v>
      </c>
      <c r="D135" s="25" t="s">
        <v>101</v>
      </c>
      <c r="E135" s="26"/>
      <c r="F135" s="27">
        <v>2</v>
      </c>
      <c r="G135" s="28">
        <f>ROUND(СУММПРОИЗВЕСЛИ(1,I135:I151,"s",E135:E151,G135:G151,0),2)</f>
        <v>1245.66</v>
      </c>
      <c r="H135" s="28">
        <f>ROUND(СУММПРОИЗВЕСЛИ(F135,I135:I151,"s",E135:E151,G135:G151,0),2)</f>
        <v>2491.31</v>
      </c>
      <c r="I135" s="1" t="s">
        <v>30</v>
      </c>
      <c r="M135" s="13">
        <f>ROUND(СУММПРОИЗВЕСЛИ(1,I135:I151,"s",E135:E151,M135:M151,0),2)</f>
        <v>0</v>
      </c>
      <c r="N135" s="13">
        <f>ROUND(СУММПРОИЗВЕСЛИ(F135,I135:I151,"s",E135:E151,M135:M151,0),2)</f>
        <v>0</v>
      </c>
    </row>
    <row r="136" spans="1:14" ht="10.5">
      <c r="A136" s="14" t="s">
        <v>102</v>
      </c>
      <c r="B136" s="14" t="s">
        <v>32</v>
      </c>
      <c r="C136" s="14" t="s">
        <v>33</v>
      </c>
      <c r="D136" s="15" t="s">
        <v>34</v>
      </c>
      <c r="E136" s="1">
        <f>ОКРУГЛВСЕ(СУММПРОИЗВЕСЛИ(1,K135:K151,"mWithZTM",D135:D151,E135:E151,-1)+СУММКОЭФПРОЦЕНТЕСЛИ(1,1,K135:K151,"mWithZTM_Proch",E135:E151,-1),11)</f>
        <v>0.023</v>
      </c>
      <c r="F136" s="1">
        <f>ОКРУГЛВСЕ(СУММПРОИЗВЕСЛИ(1,K135:K151,"mWithZTM",D135:D151,F135:F151,-1)+СУММКОЭФПРОЦЕНТЕСЛИ(1,1,K135:K151,"mWithZTM_Proch",F135:F151,-1),11)</f>
        <v>0.046</v>
      </c>
      <c r="G136" s="16">
        <f>IF(F136=0,0,ROUND(H136/F136,3))</f>
        <v>73.913</v>
      </c>
      <c r="H136" s="17">
        <f>ROUND(СУММЕСЛИДА1НЕ1(L135:L151,"mWithZPM",D135:D151,0,H135:H151),2)</f>
        <v>3.4</v>
      </c>
      <c r="J136" s="1" t="s">
        <v>35</v>
      </c>
      <c r="M136" s="16">
        <f>IF(F136=0,0,ROUND(N136/F136,3))</f>
        <v>0</v>
      </c>
      <c r="N136" s="17">
        <f>ROUND(СУММЕСЛИДА1НЕ1(L135:L151,"mWithZPM",D135:D151,0,N135:N151),2)</f>
        <v>0</v>
      </c>
    </row>
    <row r="137" spans="1:14" ht="10.5">
      <c r="A137" s="14" t="s">
        <v>103</v>
      </c>
      <c r="B137" s="18" t="str">
        <f>ПОЛУЧШИФР(Ресурсы!A6,0)</f>
        <v>з000-1004-0</v>
      </c>
      <c r="C137" s="14" t="str">
        <f>Ресурсы!B6</f>
        <v>Рабочие-строители (средний разряд 4.0)</v>
      </c>
      <c r="D137" s="15" t="s">
        <v>34</v>
      </c>
      <c r="E137" s="1">
        <v>7.3945</v>
      </c>
      <c r="F137" s="1">
        <f>ОКРУГЛВСЕ(IF(E137="",0,E137)*IF(F135="",0,F135),11)</f>
        <v>14.789</v>
      </c>
      <c r="G137" s="16">
        <f>Ресурсы!D6</f>
        <v>101.84</v>
      </c>
      <c r="H137" s="17">
        <f>ROUND(IF(F137="",0,F137)*IF(G137="",0,G137),2)</f>
        <v>1506.11</v>
      </c>
      <c r="I137" s="1" t="s">
        <v>38</v>
      </c>
      <c r="J137" s="1" t="s">
        <v>72</v>
      </c>
      <c r="M137" s="16">
        <f>Ресурсы!C6</f>
        <v>0</v>
      </c>
      <c r="N137" s="17">
        <f>ROUND(IF(F137="",0,F137)*IF(M137="",0,M137),2)</f>
        <v>0</v>
      </c>
    </row>
    <row r="138" spans="1:14" ht="10.5">
      <c r="A138" s="72" t="s">
        <v>104</v>
      </c>
      <c r="B138" s="73" t="str">
        <f>ПОЛУЧШИФР(Ресурсы!A50,0)</f>
        <v>х02-0129</v>
      </c>
      <c r="C138" s="72" t="str">
        <f>Ресурсы!B50</f>
        <v>Краны башенные при работе на других видах строительства (кроме монтажа технологического оборудования) 8 т</v>
      </c>
      <c r="D138" s="19" t="s">
        <v>37</v>
      </c>
      <c r="E138" s="69">
        <v>0.0115</v>
      </c>
      <c r="F138" s="69">
        <f>ОКРУГЛВСЕ(IF(E138="",0,E138)*IF(F135="",0,F135),11)</f>
        <v>0.023</v>
      </c>
      <c r="G138" s="20">
        <f>Ресурсы!D50</f>
        <v>351.1</v>
      </c>
      <c r="H138" s="20">
        <f>ROUND(IF(F138="",0,F138)*IF(G138="",0,G138),2)</f>
        <v>8.08</v>
      </c>
      <c r="I138" s="1" t="s">
        <v>38</v>
      </c>
      <c r="J138" s="1" t="s">
        <v>39</v>
      </c>
      <c r="M138" s="20">
        <f>Ресурсы!C50</f>
        <v>0</v>
      </c>
      <c r="N138" s="20">
        <f>ROUND(IF(F138="",0,F138)*IF(M138="",0,M138),2)</f>
        <v>0</v>
      </c>
    </row>
    <row r="139" spans="1:14" ht="21">
      <c r="A139" s="72"/>
      <c r="B139" s="73"/>
      <c r="C139" s="72"/>
      <c r="D139" s="1">
        <f>Ресурсы!G50</f>
        <v>1</v>
      </c>
      <c r="E139" s="69"/>
      <c r="F139" s="69"/>
      <c r="G139" s="17">
        <f>Ресурсы!F50</f>
        <v>147.82</v>
      </c>
      <c r="H139" s="17">
        <f>ROUND(IF(F138="",0,F138)*IF(G139="",0,G139),2)</f>
        <v>3.4</v>
      </c>
      <c r="K139" s="1" t="s">
        <v>40</v>
      </c>
      <c r="L139" s="1" t="s">
        <v>41</v>
      </c>
      <c r="M139" s="17">
        <f>Ресурсы!E50</f>
        <v>0</v>
      </c>
      <c r="N139" s="17">
        <f>ROUND(IF(F138="",0,F138)*IF(M139="",0,M139),2)</f>
        <v>0</v>
      </c>
    </row>
    <row r="140" spans="1:14" ht="10.5">
      <c r="A140" s="14" t="s">
        <v>105</v>
      </c>
      <c r="B140" s="18" t="str">
        <f>ПОЛУЧШИФР(Ресурсы!A56,0)</f>
        <v>х04-0502</v>
      </c>
      <c r="C140" s="14" t="str">
        <f>Ресурсы!B56</f>
        <v>Установки для сварки ручной дуговой (постоянного тока)</v>
      </c>
      <c r="D140" s="15" t="s">
        <v>37</v>
      </c>
      <c r="E140" s="1">
        <v>0.644</v>
      </c>
      <c r="F140" s="1">
        <f>ОКРУГЛВСЕ(IF(E140="",0,E140)*IF(F135="",0,F135),11)</f>
        <v>1.288</v>
      </c>
      <c r="G140" s="17">
        <f>Ресурсы!D56</f>
        <v>30.82</v>
      </c>
      <c r="H140" s="17">
        <f>ROUND(IF(F140="",0,F140)*IF(G140="",0,G140),2)</f>
        <v>39.7</v>
      </c>
      <c r="I140" s="1" t="s">
        <v>38</v>
      </c>
      <c r="J140" s="1" t="s">
        <v>39</v>
      </c>
      <c r="M140" s="17">
        <f>Ресурсы!C56</f>
        <v>0</v>
      </c>
      <c r="N140" s="17">
        <f>ROUND(IF(F140="",0,F140)*IF(M140="",0,M140),2)</f>
        <v>0</v>
      </c>
    </row>
    <row r="141" spans="1:14" ht="10.5">
      <c r="A141" s="14" t="s">
        <v>106</v>
      </c>
      <c r="B141" s="18" t="str">
        <f>ПОЛУЧШИФР(Ресурсы!A57,0)</f>
        <v>х04-0504</v>
      </c>
      <c r="C141" s="14" t="str">
        <f>Ресурсы!B57</f>
        <v>Аппараты для газовой сварки и резки</v>
      </c>
      <c r="D141" s="15" t="s">
        <v>37</v>
      </c>
      <c r="E141" s="1">
        <v>0.7015</v>
      </c>
      <c r="F141" s="1">
        <f>ОКРУГЛВСЕ(IF(E141="",0,E141)*IF(F135="",0,F135),11)</f>
        <v>1.403</v>
      </c>
      <c r="G141" s="17">
        <f>Ресурсы!D57</f>
        <v>3.17</v>
      </c>
      <c r="H141" s="17">
        <f>ROUND(IF(F141="",0,F141)*IF(G141="",0,G141),2)</f>
        <v>4.45</v>
      </c>
      <c r="I141" s="1" t="s">
        <v>38</v>
      </c>
      <c r="J141" s="1" t="s">
        <v>39</v>
      </c>
      <c r="M141" s="17">
        <f>Ресурсы!C57</f>
        <v>0</v>
      </c>
      <c r="N141" s="17">
        <f>ROUND(IF(F141="",0,F141)*IF(M141="",0,M141),2)</f>
        <v>0</v>
      </c>
    </row>
    <row r="142" spans="1:14" ht="10.5">
      <c r="A142" s="72" t="s">
        <v>107</v>
      </c>
      <c r="B142" s="73" t="str">
        <f>ПОЛУЧШИФР(Ресурсы!A69,0)</f>
        <v>х40-0001</v>
      </c>
      <c r="C142" s="72" t="str">
        <f>Ресурсы!B69</f>
        <v>Автомобили бортовые грузоподъемностью до 5 т</v>
      </c>
      <c r="D142" s="19" t="s">
        <v>37</v>
      </c>
      <c r="E142" s="69">
        <v>0.0115</v>
      </c>
      <c r="F142" s="69">
        <f>ОКРУГЛВСЕ(IF(E142="",0,E142)*IF(F135="",0,F135),11)</f>
        <v>0.023</v>
      </c>
      <c r="G142" s="20">
        <f>Ресурсы!D69</f>
        <v>410.49</v>
      </c>
      <c r="H142" s="20">
        <f>ROUND(IF(F142="",0,F142)*IF(G142="",0,G142),2)</f>
        <v>9.44</v>
      </c>
      <c r="I142" s="1" t="s">
        <v>38</v>
      </c>
      <c r="J142" s="1" t="s">
        <v>39</v>
      </c>
      <c r="M142" s="20">
        <f>Ресурсы!C69</f>
        <v>0</v>
      </c>
      <c r="N142" s="20">
        <f>ROUND(IF(F142="",0,F142)*IF(M142="",0,M142),2)</f>
        <v>0</v>
      </c>
    </row>
    <row r="143" spans="1:14" ht="21">
      <c r="A143" s="72"/>
      <c r="B143" s="73"/>
      <c r="C143" s="72"/>
      <c r="D143" s="1">
        <f>Ресурсы!G69</f>
        <v>1</v>
      </c>
      <c r="E143" s="69"/>
      <c r="F143" s="69"/>
      <c r="G143" s="17">
        <f>Ресурсы!F69</f>
        <v>0</v>
      </c>
      <c r="H143" s="17">
        <f>ROUND(IF(F142="",0,F142)*IF(G143="",0,G143),2)</f>
        <v>0</v>
      </c>
      <c r="K143" s="1" t="s">
        <v>40</v>
      </c>
      <c r="L143" s="1" t="s">
        <v>41</v>
      </c>
      <c r="M143" s="17">
        <f>Ресурсы!E69</f>
        <v>0</v>
      </c>
      <c r="N143" s="17">
        <f>ROUND(IF(F142="",0,F142)*IF(M143="",0,M143),2)</f>
        <v>0</v>
      </c>
    </row>
    <row r="144" spans="1:14" ht="10.5">
      <c r="A144" s="14" t="s">
        <v>108</v>
      </c>
      <c r="B144" s="18" t="str">
        <f>ПОЛУЧШИФР(Ресурсы!A12,0)</f>
        <v>с101-0324</v>
      </c>
      <c r="C144" s="14" t="str">
        <f>Ресурсы!B12</f>
        <v>Кислород технический газообразный</v>
      </c>
      <c r="D144" s="15" t="s">
        <v>88</v>
      </c>
      <c r="E144" s="1">
        <v>0.042</v>
      </c>
      <c r="F144" s="1">
        <f>ОКРУГЛВСЕ(IF(E144="",0,E144)*IF(F135="",0,F135),11)</f>
        <v>0.084</v>
      </c>
      <c r="G144" s="17">
        <f>ROUND(Ресурсы!D12*Начисления!AV11,2)</f>
        <v>28.36</v>
      </c>
      <c r="H144" s="17">
        <f aca="true" t="shared" si="0" ref="H144:H151">ROUND(IF(F144="",0,F144)*IF(G144="",0,G144),2)</f>
        <v>2.38</v>
      </c>
      <c r="I144" s="1" t="s">
        <v>38</v>
      </c>
      <c r="J144" s="1" t="s">
        <v>86</v>
      </c>
      <c r="M144" s="17">
        <f>ROUND(Ресурсы!C12*Начисления!AV11,2)</f>
        <v>0</v>
      </c>
      <c r="N144" s="17">
        <f aca="true" t="shared" si="1" ref="N144:N151">ROUND(IF(F144="",0,F144)*IF(M144="",0,M144),2)</f>
        <v>0</v>
      </c>
    </row>
    <row r="145" spans="1:14" ht="10.5">
      <c r="A145" s="14" t="s">
        <v>109</v>
      </c>
      <c r="B145" s="18" t="str">
        <f>ПОЛУЧШИФР(Ресурсы!A16,0)</f>
        <v>с101-1522</v>
      </c>
      <c r="C145" s="14" t="str">
        <f>Ресурсы!B16</f>
        <v>Электроды диаметром 5 мм Э42А</v>
      </c>
      <c r="D145" s="15" t="s">
        <v>110</v>
      </c>
      <c r="E145" s="1">
        <v>0.0002</v>
      </c>
      <c r="F145" s="1">
        <f>ОКРУГЛВСЕ(IF(E145="",0,E145)*IF(F135="",0,F135),11)</f>
        <v>0.0004</v>
      </c>
      <c r="G145" s="17">
        <f>ROUND(Ресурсы!D16*Начисления!AV11,2)</f>
        <v>52929.36</v>
      </c>
      <c r="H145" s="17">
        <f t="shared" si="0"/>
        <v>21.17</v>
      </c>
      <c r="I145" s="1" t="s">
        <v>38</v>
      </c>
      <c r="J145" s="1" t="s">
        <v>86</v>
      </c>
      <c r="M145" s="17">
        <f>ROUND(Ресурсы!C16*Начисления!AV11,2)</f>
        <v>0</v>
      </c>
      <c r="N145" s="17">
        <f t="shared" si="1"/>
        <v>0</v>
      </c>
    </row>
    <row r="146" spans="1:14" ht="10.5">
      <c r="A146" s="14" t="s">
        <v>111</v>
      </c>
      <c r="B146" s="18" t="str">
        <f>ПОЛУЧШИФР(Ресурсы!A17,0)</f>
        <v>с101-1602</v>
      </c>
      <c r="C146" s="14" t="str">
        <f>Ресурсы!B17</f>
        <v>Ацетилен газообразный технический</v>
      </c>
      <c r="D146" s="15" t="s">
        <v>88</v>
      </c>
      <c r="E146" s="1">
        <v>0.0105</v>
      </c>
      <c r="F146" s="1">
        <f>ОКРУГЛВСЕ(IF(E146="",0,E146)*IF(F135="",0,F135),11)</f>
        <v>0.021</v>
      </c>
      <c r="G146" s="17">
        <f>ROUND(Ресурсы!D17*Начисления!AV11,2)</f>
        <v>203.82</v>
      </c>
      <c r="H146" s="17">
        <f t="shared" si="0"/>
        <v>4.28</v>
      </c>
      <c r="I146" s="1" t="s">
        <v>38</v>
      </c>
      <c r="J146" s="1" t="s">
        <v>86</v>
      </c>
      <c r="M146" s="17">
        <f>ROUND(Ресурсы!C17*Начисления!AV11,2)</f>
        <v>0</v>
      </c>
      <c r="N146" s="17">
        <f t="shared" si="1"/>
        <v>0</v>
      </c>
    </row>
    <row r="147" spans="1:14" ht="21">
      <c r="A147" s="14" t="s">
        <v>112</v>
      </c>
      <c r="B147" s="18" t="str">
        <f>ПОЛУЧШИФР(Ресурсы!A21,0)</f>
        <v>с103-0357</v>
      </c>
      <c r="C147" s="14" t="str">
        <f>Ресурсы!B21</f>
        <v>Трубы стальные бесшовные, горячедеформированные со снятой фаской из стали марок 15, 20, 25 наружный диаметр 57 мм толщина стенки 3.5 мм</v>
      </c>
      <c r="D147" s="15" t="s">
        <v>90</v>
      </c>
      <c r="E147" s="1">
        <v>0.4</v>
      </c>
      <c r="F147" s="1">
        <f>ОКРУГЛВСЕ(IF(E147="",0,E147)*IF(F135="",0,F135),11)</f>
        <v>0.8</v>
      </c>
      <c r="G147" s="17">
        <f>ROUND(Ресурсы!D21*Начисления!AV11,2)</f>
        <v>169.95</v>
      </c>
      <c r="H147" s="17">
        <f t="shared" si="0"/>
        <v>135.96</v>
      </c>
      <c r="I147" s="1" t="s">
        <v>38</v>
      </c>
      <c r="J147" s="1" t="s">
        <v>86</v>
      </c>
      <c r="M147" s="17">
        <f>ROUND(Ресурсы!C21*Начисления!AV11,2)</f>
        <v>0</v>
      </c>
      <c r="N147" s="17">
        <f t="shared" si="1"/>
        <v>0</v>
      </c>
    </row>
    <row r="148" spans="1:14" ht="21">
      <c r="A148" s="14" t="s">
        <v>113</v>
      </c>
      <c r="B148" s="18" t="str">
        <f>ПОЛУЧШИФР(Ресурсы!A26,0)</f>
        <v>с300-0040</v>
      </c>
      <c r="C148" s="14" t="str">
        <f>Ресурсы!B26</f>
        <v>Болты с гайками и шайбами для санитарно-технических работ, диаметром 16 мм</v>
      </c>
      <c r="D148" s="15" t="s">
        <v>110</v>
      </c>
      <c r="E148" s="1">
        <v>0.0006</v>
      </c>
      <c r="F148" s="1">
        <f>ОКРУГЛВСЕ(IF(E148="",0,E148)*IF(F135="",0,F135),11)</f>
        <v>0.0012</v>
      </c>
      <c r="G148" s="17">
        <f>ROUND(Ресурсы!D26*Начисления!AV11,2)</f>
        <v>76827.84</v>
      </c>
      <c r="H148" s="17">
        <f t="shared" si="0"/>
        <v>92.19</v>
      </c>
      <c r="I148" s="1" t="s">
        <v>38</v>
      </c>
      <c r="J148" s="1" t="s">
        <v>86</v>
      </c>
      <c r="M148" s="17">
        <f>ROUND(Ресурсы!C26*Начисления!AV11,2)</f>
        <v>0</v>
      </c>
      <c r="N148" s="17">
        <f t="shared" si="1"/>
        <v>0</v>
      </c>
    </row>
    <row r="149" spans="1:14" ht="10.5">
      <c r="A149" s="14" t="s">
        <v>114</v>
      </c>
      <c r="B149" s="18" t="str">
        <f>ПОЛУЧШИФР(Ресурсы!A27,0)</f>
        <v>с300-9009</v>
      </c>
      <c r="C149" s="14" t="str">
        <f>Ресурсы!B27</f>
        <v>Арматура фланцевая</v>
      </c>
      <c r="D149" s="15" t="s">
        <v>115</v>
      </c>
      <c r="E149" s="1">
        <v>1</v>
      </c>
      <c r="F149" s="1">
        <f>ОКРУГЛВСЕ(IF(E149="",0,E149)*IF(F135="",0,F135),11)</f>
        <v>2</v>
      </c>
      <c r="G149" s="17">
        <f>ROUND(Ресурсы!D27*Начисления!AV11,2)</f>
        <v>162.46</v>
      </c>
      <c r="H149" s="17">
        <f t="shared" si="0"/>
        <v>324.92</v>
      </c>
      <c r="I149" s="1" t="s">
        <v>38</v>
      </c>
      <c r="J149" s="1" t="s">
        <v>86</v>
      </c>
      <c r="M149" s="17">
        <f>ROUND(Ресурсы!C27*Начисления!AV11,2)</f>
        <v>0</v>
      </c>
      <c r="N149" s="17">
        <f t="shared" si="1"/>
        <v>0</v>
      </c>
    </row>
    <row r="150" spans="1:14" ht="10.5">
      <c r="A150" s="14" t="s">
        <v>116</v>
      </c>
      <c r="B150" s="18" t="str">
        <f>ПОЛУЧШИФР(Ресурсы!A28,0)</f>
        <v>с300-9507</v>
      </c>
      <c r="C150" s="14" t="str">
        <f>Ресурсы!B28</f>
        <v>Фланцы стальные</v>
      </c>
      <c r="D150" s="15" t="s">
        <v>115</v>
      </c>
      <c r="E150" s="1">
        <v>1</v>
      </c>
      <c r="F150" s="1">
        <f>ОКРУГЛВСЕ(IF(E150="",0,E150)*IF(F135="",0,F135),11)</f>
        <v>2</v>
      </c>
      <c r="G150" s="17">
        <f>ROUND(Ресурсы!D28*Начисления!AV11,2)</f>
        <v>165</v>
      </c>
      <c r="H150" s="17">
        <f t="shared" si="0"/>
        <v>330</v>
      </c>
      <c r="I150" s="1" t="s">
        <v>38</v>
      </c>
      <c r="J150" s="1" t="s">
        <v>86</v>
      </c>
      <c r="M150" s="17">
        <f>ROUND(Ресурсы!C28*Начисления!AV11,2)</f>
        <v>0</v>
      </c>
      <c r="N150" s="17">
        <f t="shared" si="1"/>
        <v>0</v>
      </c>
    </row>
    <row r="151" spans="1:14" ht="10.5">
      <c r="A151" s="14" t="s">
        <v>117</v>
      </c>
      <c r="B151" s="18" t="str">
        <f>ПОЛУЧШИФР(Ресурсы!A39,0)</f>
        <v>с541-0063</v>
      </c>
      <c r="C151" s="14" t="str">
        <f>Ресурсы!B39</f>
        <v>Прокладки из паронита марки ПМБ, толщиной 1 мм, диаметром 50 мм</v>
      </c>
      <c r="D151" s="15" t="s">
        <v>118</v>
      </c>
      <c r="E151" s="1">
        <v>0.001</v>
      </c>
      <c r="F151" s="1">
        <f>ОКРУГЛВСЕ(IF(E151="",0,E151)*IF(F135="",0,F135),11)</f>
        <v>0.002</v>
      </c>
      <c r="G151" s="17">
        <f>ROUND(Ресурсы!D39*Начисления!AV11,2)</f>
        <v>6315.9</v>
      </c>
      <c r="H151" s="17">
        <f t="shared" si="0"/>
        <v>12.63</v>
      </c>
      <c r="I151" s="1" t="s">
        <v>38</v>
      </c>
      <c r="J151" s="1" t="s">
        <v>86</v>
      </c>
      <c r="M151" s="17">
        <f>ROUND(Ресурсы!C39*Начисления!AV11,2)</f>
        <v>0</v>
      </c>
      <c r="N151" s="17">
        <f t="shared" si="1"/>
        <v>0</v>
      </c>
    </row>
    <row r="152" spans="3:8" ht="10.5" hidden="1">
      <c r="C152" s="21" t="s">
        <v>42</v>
      </c>
      <c r="H152" s="1">
        <v>1506.11</v>
      </c>
    </row>
    <row r="153" spans="3:8" ht="10.5" hidden="1">
      <c r="C153" s="21" t="s">
        <v>43</v>
      </c>
      <c r="H153" s="1">
        <v>61.66</v>
      </c>
    </row>
    <row r="154" spans="3:8" ht="10.5" hidden="1">
      <c r="C154" s="21" t="s">
        <v>44</v>
      </c>
      <c r="H154" s="1">
        <v>3.4</v>
      </c>
    </row>
    <row r="155" spans="3:8" ht="10.5" hidden="1">
      <c r="C155" s="21" t="s">
        <v>45</v>
      </c>
      <c r="H155" s="1">
        <v>923.54</v>
      </c>
    </row>
    <row r="156" ht="10.5" hidden="1">
      <c r="C156" s="21" t="s">
        <v>46</v>
      </c>
    </row>
    <row r="157" spans="3:13" ht="21" hidden="1">
      <c r="C157" s="21" t="s">
        <v>47</v>
      </c>
      <c r="G157" s="22"/>
      <c r="I157" s="1" t="s">
        <v>48</v>
      </c>
      <c r="M157" s="22"/>
    </row>
    <row r="158" ht="10.5" hidden="1">
      <c r="C158" s="21" t="s">
        <v>49</v>
      </c>
    </row>
    <row r="159" ht="10.5" hidden="1">
      <c r="C159" s="21" t="s">
        <v>50</v>
      </c>
    </row>
    <row r="160" ht="10.5" hidden="1">
      <c r="C160" s="21" t="s">
        <v>51</v>
      </c>
    </row>
    <row r="161" spans="3:14" ht="10.5">
      <c r="C161" s="21" t="s">
        <v>52</v>
      </c>
      <c r="G161" s="1">
        <v>115.2</v>
      </c>
      <c r="H161" s="23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  <v>1738.96</v>
      </c>
      <c r="J161" s="14" t="s">
        <v>53</v>
      </c>
      <c r="N161" s="23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</row>
    <row r="162" spans="3:14" ht="10.5" hidden="1">
      <c r="C162" s="21" t="s">
        <v>54</v>
      </c>
      <c r="G162" s="1">
        <v>115.2</v>
      </c>
      <c r="H162" s="23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  <v>1735.05</v>
      </c>
      <c r="J162" s="14" t="s">
        <v>55</v>
      </c>
      <c r="N162" s="23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</row>
    <row r="163" spans="3:14" ht="10.5" hidden="1">
      <c r="C163" s="21" t="s">
        <v>56</v>
      </c>
      <c r="G163" s="1">
        <v>115.2</v>
      </c>
      <c r="H163" s="23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  <v>3.92</v>
      </c>
      <c r="J163" s="14" t="s">
        <v>57</v>
      </c>
      <c r="N163" s="23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</row>
    <row r="164" spans="3:14" ht="10.5">
      <c r="C164" s="21" t="s">
        <v>58</v>
      </c>
      <c r="G164" s="1">
        <v>70.55</v>
      </c>
      <c r="H164" s="23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  <v>1064.96</v>
      </c>
      <c r="J164" s="14" t="s">
        <v>59</v>
      </c>
      <c r="N164" s="23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</row>
    <row r="165" spans="3:14" ht="10.5" hidden="1">
      <c r="C165" s="21" t="s">
        <v>60</v>
      </c>
      <c r="G165" s="1">
        <v>70.55</v>
      </c>
      <c r="H165" s="23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  <v>1062.57</v>
      </c>
      <c r="J165" s="14" t="s">
        <v>61</v>
      </c>
      <c r="N165" s="23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</row>
    <row r="166" spans="3:14" ht="10.5" hidden="1">
      <c r="C166" s="21" t="s">
        <v>62</v>
      </c>
      <c r="G166" s="1">
        <v>70.55</v>
      </c>
      <c r="H166" s="23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  <v>2.4</v>
      </c>
      <c r="J166" s="14" t="s">
        <v>63</v>
      </c>
      <c r="N166" s="23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</row>
    <row r="167" spans="3:8" ht="10.5">
      <c r="C167" s="21" t="s">
        <v>64</v>
      </c>
      <c r="H167" s="23">
        <f>ROUND(IF(H135="",0,H135)+IF(H161="",0,H161)+IF(H164="",0,H164),2)</f>
        <v>5295.23</v>
      </c>
    </row>
    <row r="168" spans="1:14" ht="31.5">
      <c r="A168" s="24" t="s">
        <v>119</v>
      </c>
      <c r="B168" s="24" t="s">
        <v>120</v>
      </c>
      <c r="C168" s="24" t="s">
        <v>121</v>
      </c>
      <c r="D168" s="25" t="s">
        <v>122</v>
      </c>
      <c r="E168" s="26"/>
      <c r="F168" s="27">
        <v>0.2</v>
      </c>
      <c r="G168" s="28">
        <f>ROUND(СУММПРОИЗВЕСЛИ(1,I168:I195,"s",E168:E195,G168:G195,0),2)</f>
        <v>105179.7</v>
      </c>
      <c r="H168" s="28">
        <f>ROUND(СУММПРОИЗВЕСЛИ(F168,I168:I195,"s",E168:E195,G168:G195,0),2)</f>
        <v>21035.94</v>
      </c>
      <c r="I168" s="1" t="s">
        <v>30</v>
      </c>
      <c r="M168" s="13">
        <f>ROUND(СУММПРОИЗВЕСЛИ(1,I168:I195,"s",E168:E195,M168:M195,0),2)</f>
        <v>0</v>
      </c>
      <c r="N168" s="13">
        <f>ROUND(СУММПРОИЗВЕСЛИ(F168,I168:I195,"s",E168:E195,M168:M195,0),2)</f>
        <v>0</v>
      </c>
    </row>
    <row r="169" spans="1:14" ht="10.5">
      <c r="A169" s="14" t="s">
        <v>123</v>
      </c>
      <c r="B169" s="14" t="s">
        <v>32</v>
      </c>
      <c r="C169" s="14" t="s">
        <v>33</v>
      </c>
      <c r="D169" s="15" t="s">
        <v>34</v>
      </c>
      <c r="E169" s="1">
        <f>ОКРУГЛВСЕ(СУММПРОИЗВЕСЛИ(1,K168:K195,"mWithZTM",D168:D195,E168:E195,-1)+СУММКОЭФПРОЦЕНТЕСЛИ(1,1,K168:K195,"mWithZTM_Proch",E168:E195,-1),11)</f>
        <v>34.6265</v>
      </c>
      <c r="F169" s="1">
        <f>ОКРУГЛВСЕ(СУММПРОИЗВЕСЛИ(1,K168:K195,"mWithZTM",D168:D195,F168:F195,-1)+СУММКОЭФПРОЦЕНТЕСЛИ(1,1,K168:K195,"mWithZTM_Proch",F168:F195,-1),11)</f>
        <v>6.9253</v>
      </c>
      <c r="G169" s="16">
        <f>IF(F169=0,0,ROUND(H169/F169,3))</f>
        <v>107.024</v>
      </c>
      <c r="H169" s="17">
        <f>ROUND(СУММЕСЛИДА1НЕ1(L168:L195,"mWithZPM",D168:D195,0,H168:H195),2)</f>
        <v>741.17</v>
      </c>
      <c r="J169" s="1" t="s">
        <v>35</v>
      </c>
      <c r="M169" s="16">
        <f>IF(F169=0,0,ROUND(N169/F169,3))</f>
        <v>0</v>
      </c>
      <c r="N169" s="17">
        <f>ROUND(СУММЕСЛИДА1НЕ1(L168:L195,"mWithZPM",D168:D195,0,N168:N195),2)</f>
        <v>0</v>
      </c>
    </row>
    <row r="170" spans="1:14" ht="10.5">
      <c r="A170" s="14" t="s">
        <v>124</v>
      </c>
      <c r="B170" s="18" t="str">
        <f>ПОЛУЧШИФР(Ресурсы!A5,0)</f>
        <v>з000-1003-7</v>
      </c>
      <c r="C170" s="14" t="str">
        <f>Ресурсы!B5</f>
        <v>Рабочие-строители (средний разряд 3.7)</v>
      </c>
      <c r="D170" s="15" t="s">
        <v>34</v>
      </c>
      <c r="E170" s="1">
        <v>174.225</v>
      </c>
      <c r="F170" s="1">
        <f>ОКРУГЛВСЕ(IF(E170="",0,E170)*IF(F168="",0,F168),11)</f>
        <v>34.845</v>
      </c>
      <c r="G170" s="16">
        <f>Ресурсы!D5</f>
        <v>98.42</v>
      </c>
      <c r="H170" s="17">
        <f>ROUND(IF(F170="",0,F170)*IF(G170="",0,G170),2)</f>
        <v>3429.44</v>
      </c>
      <c r="I170" s="1" t="s">
        <v>38</v>
      </c>
      <c r="J170" s="1" t="s">
        <v>72</v>
      </c>
      <c r="M170" s="16">
        <f>Ресурсы!C5</f>
        <v>0</v>
      </c>
      <c r="N170" s="17">
        <f>ROUND(IF(F170="",0,F170)*IF(M170="",0,M170),2)</f>
        <v>0</v>
      </c>
    </row>
    <row r="171" spans="1:14" ht="10.5">
      <c r="A171" s="72" t="s">
        <v>125</v>
      </c>
      <c r="B171" s="73" t="str">
        <f>ПОЛУЧШИФР(Ресурсы!A51,0)</f>
        <v>х02-1141</v>
      </c>
      <c r="C171" s="72" t="str">
        <f>Ресурсы!B51</f>
        <v>Краны на автомобильном ходу при работе на других видах строительства 10 т</v>
      </c>
      <c r="D171" s="19" t="s">
        <v>37</v>
      </c>
      <c r="E171" s="69">
        <v>25.07</v>
      </c>
      <c r="F171" s="69">
        <f>ОКРУГЛВСЕ(IF(E171="",0,E171)*IF(F168="",0,F168),11)</f>
        <v>5.014</v>
      </c>
      <c r="G171" s="20">
        <f>Ресурсы!D51</f>
        <v>413.13</v>
      </c>
      <c r="H171" s="20">
        <f>ROUND(IF(F171="",0,F171)*IF(G171="",0,G171),2)</f>
        <v>2071.43</v>
      </c>
      <c r="I171" s="1" t="s">
        <v>38</v>
      </c>
      <c r="J171" s="1" t="s">
        <v>39</v>
      </c>
      <c r="M171" s="20">
        <f>Ресурсы!C51</f>
        <v>0</v>
      </c>
      <c r="N171" s="20">
        <f>ROUND(IF(F171="",0,F171)*IF(M171="",0,M171),2)</f>
        <v>0</v>
      </c>
    </row>
    <row r="172" spans="1:14" ht="21">
      <c r="A172" s="72"/>
      <c r="B172" s="73"/>
      <c r="C172" s="72"/>
      <c r="D172" s="1">
        <f>Ресурсы!G51</f>
        <v>1</v>
      </c>
      <c r="E172" s="69"/>
      <c r="F172" s="69"/>
      <c r="G172" s="17">
        <f>Ресурсы!F51</f>
        <v>147.82</v>
      </c>
      <c r="H172" s="17">
        <f>ROUND(IF(F171="",0,F171)*IF(G172="",0,G172),2)</f>
        <v>741.17</v>
      </c>
      <c r="K172" s="1" t="s">
        <v>40</v>
      </c>
      <c r="L172" s="1" t="s">
        <v>41</v>
      </c>
      <c r="M172" s="17">
        <f>Ресурсы!E51</f>
        <v>0</v>
      </c>
      <c r="N172" s="17">
        <f>ROUND(IF(F171="",0,F171)*IF(M172="",0,M172),2)</f>
        <v>0</v>
      </c>
    </row>
    <row r="173" spans="1:14" ht="10.5">
      <c r="A173" s="14" t="s">
        <v>126</v>
      </c>
      <c r="B173" s="18" t="str">
        <f>ПОЛУЧШИФР(Ресурсы!A64,0)</f>
        <v>х12-1011</v>
      </c>
      <c r="C173" s="14" t="str">
        <f>Ресурсы!B64</f>
        <v>Котлы битумные передвижные 400 л</v>
      </c>
      <c r="D173" s="15" t="s">
        <v>37</v>
      </c>
      <c r="E173" s="1">
        <v>1.7135</v>
      </c>
      <c r="F173" s="1">
        <f>ОКРУГЛВСЕ(IF(E173="",0,E173)*IF(F168="",0,F168),11)</f>
        <v>0.3427</v>
      </c>
      <c r="G173" s="17">
        <f>Ресурсы!D64</f>
        <v>97.88</v>
      </c>
      <c r="H173" s="17">
        <f>ROUND(IF(F173="",0,F173)*IF(G173="",0,G173),2)</f>
        <v>33.54</v>
      </c>
      <c r="I173" s="1" t="s">
        <v>38</v>
      </c>
      <c r="J173" s="1" t="s">
        <v>39</v>
      </c>
      <c r="M173" s="17">
        <f>Ресурсы!C64</f>
        <v>0</v>
      </c>
      <c r="N173" s="17">
        <f>ROUND(IF(F173="",0,F173)*IF(M173="",0,M173),2)</f>
        <v>0</v>
      </c>
    </row>
    <row r="174" spans="1:14" ht="10.5">
      <c r="A174" s="72" t="s">
        <v>127</v>
      </c>
      <c r="B174" s="73" t="str">
        <f>ПОЛУЧШИФР(Ресурсы!A69,0)</f>
        <v>х40-0001</v>
      </c>
      <c r="C174" s="72" t="str">
        <f>Ресурсы!B69</f>
        <v>Автомобили бортовые грузоподъемностью до 5 т</v>
      </c>
      <c r="D174" s="19" t="s">
        <v>37</v>
      </c>
      <c r="E174" s="69">
        <v>9.5565</v>
      </c>
      <c r="F174" s="69">
        <f>ОКРУГЛВСЕ(IF(E174="",0,E174)*IF(F168="",0,F168),11)</f>
        <v>1.9113</v>
      </c>
      <c r="G174" s="20">
        <f>Ресурсы!D69</f>
        <v>410.49</v>
      </c>
      <c r="H174" s="20">
        <f>ROUND(IF(F174="",0,F174)*IF(G174="",0,G174),2)</f>
        <v>784.57</v>
      </c>
      <c r="I174" s="1" t="s">
        <v>38</v>
      </c>
      <c r="J174" s="1" t="s">
        <v>39</v>
      </c>
      <c r="M174" s="20">
        <f>Ресурсы!C69</f>
        <v>0</v>
      </c>
      <c r="N174" s="20">
        <f>ROUND(IF(F174="",0,F174)*IF(M174="",0,M174),2)</f>
        <v>0</v>
      </c>
    </row>
    <row r="175" spans="1:14" ht="21">
      <c r="A175" s="72"/>
      <c r="B175" s="73"/>
      <c r="C175" s="72"/>
      <c r="D175" s="1">
        <f>Ресурсы!G69</f>
        <v>1</v>
      </c>
      <c r="E175" s="69"/>
      <c r="F175" s="69"/>
      <c r="G175" s="17">
        <f>Ресурсы!F69</f>
        <v>0</v>
      </c>
      <c r="H175" s="17">
        <f>ROUND(IF(F174="",0,F174)*IF(G175="",0,G175),2)</f>
        <v>0</v>
      </c>
      <c r="K175" s="1" t="s">
        <v>40</v>
      </c>
      <c r="L175" s="1" t="s">
        <v>41</v>
      </c>
      <c r="M175" s="17">
        <f>Ресурсы!E69</f>
        <v>0</v>
      </c>
      <c r="N175" s="17">
        <f>ROUND(IF(F174="",0,F174)*IF(M175="",0,M175),2)</f>
        <v>0</v>
      </c>
    </row>
    <row r="176" spans="1:14" ht="10.5">
      <c r="A176" s="14" t="s">
        <v>128</v>
      </c>
      <c r="B176" s="18" t="str">
        <f>ПОЛУЧШИФР(Ресурсы!A10,0)</f>
        <v>с101-0253</v>
      </c>
      <c r="C176" s="14" t="str">
        <f>Ресурсы!B10</f>
        <v>Известь строительная негашеная комовая, сорт 1</v>
      </c>
      <c r="D176" s="15" t="s">
        <v>110</v>
      </c>
      <c r="E176" s="1">
        <v>0.0011</v>
      </c>
      <c r="F176" s="1">
        <f>ОКРУГЛВСЕ(IF(E176="",0,E176)*IF(F168="",0,F168),11)</f>
        <v>0.00022</v>
      </c>
      <c r="G176" s="17">
        <f>ROUND(Ресурсы!D10*Начисления!AV12,2)</f>
        <v>2257.63</v>
      </c>
      <c r="H176" s="17">
        <f aca="true" t="shared" si="2" ref="H176:H195">ROUND(IF(F176="",0,F176)*IF(G176="",0,G176),2)</f>
        <v>0.5</v>
      </c>
      <c r="I176" s="1" t="s">
        <v>38</v>
      </c>
      <c r="J176" s="1" t="s">
        <v>86</v>
      </c>
      <c r="M176" s="17">
        <f>ROUND(Ресурсы!C10*Начисления!AV12,2)</f>
        <v>0</v>
      </c>
      <c r="N176" s="17">
        <f aca="true" t="shared" si="3" ref="N176:N195">ROUND(IF(F176="",0,F176)*IF(M176="",0,M176),2)</f>
        <v>0</v>
      </c>
    </row>
    <row r="177" spans="1:14" ht="10.5">
      <c r="A177" s="14" t="s">
        <v>129</v>
      </c>
      <c r="B177" s="18" t="str">
        <f>ПОЛУЧШИФР(Ресурсы!A11,0)</f>
        <v>с101-0311</v>
      </c>
      <c r="C177" s="14" t="str">
        <f>Ресурсы!B11</f>
        <v>Каболка</v>
      </c>
      <c r="D177" s="15" t="s">
        <v>110</v>
      </c>
      <c r="E177" s="1">
        <v>0.04</v>
      </c>
      <c r="F177" s="1">
        <f>ОКРУГЛВСЕ(IF(E177="",0,E177)*IF(F168="",0,F168),11)</f>
        <v>0.008</v>
      </c>
      <c r="G177" s="17">
        <f>ROUND(Ресурсы!D11*Начисления!AV12,2)</f>
        <v>52913.7</v>
      </c>
      <c r="H177" s="17">
        <f t="shared" si="2"/>
        <v>423.31</v>
      </c>
      <c r="I177" s="1" t="s">
        <v>38</v>
      </c>
      <c r="J177" s="1" t="s">
        <v>86</v>
      </c>
      <c r="M177" s="17">
        <f>ROUND(Ресурсы!C11*Начисления!AV12,2)</f>
        <v>0</v>
      </c>
      <c r="N177" s="17">
        <f t="shared" si="3"/>
        <v>0</v>
      </c>
    </row>
    <row r="178" spans="1:14" ht="10.5">
      <c r="A178" s="14" t="s">
        <v>130</v>
      </c>
      <c r="B178" s="18" t="str">
        <f>ПОЛУЧШИФР(Ресурсы!A13,0)</f>
        <v>с101-0594</v>
      </c>
      <c r="C178" s="14" t="str">
        <f>Ресурсы!B13</f>
        <v>Мастика битумная кровельная горячая</v>
      </c>
      <c r="D178" s="15" t="s">
        <v>110</v>
      </c>
      <c r="E178" s="1">
        <v>0.211</v>
      </c>
      <c r="F178" s="1">
        <f>ОКРУГЛВСЕ(IF(E178="",0,E178)*IF(F168="",0,F168),11)</f>
        <v>0.0422</v>
      </c>
      <c r="G178" s="17">
        <f>ROUND(Ресурсы!D13*Начисления!AV12,2)</f>
        <v>50183.1</v>
      </c>
      <c r="H178" s="17">
        <f t="shared" si="2"/>
        <v>2117.73</v>
      </c>
      <c r="I178" s="1" t="s">
        <v>38</v>
      </c>
      <c r="J178" s="1" t="s">
        <v>86</v>
      </c>
      <c r="M178" s="17">
        <f>ROUND(Ресурсы!C13*Начисления!AV12,2)</f>
        <v>0</v>
      </c>
      <c r="N178" s="17">
        <f t="shared" si="3"/>
        <v>0</v>
      </c>
    </row>
    <row r="179" spans="1:14" ht="21">
      <c r="A179" s="14" t="s">
        <v>131</v>
      </c>
      <c r="B179" s="18" t="str">
        <f>ПОЛУЧШИФР(Ресурсы!A14,0)</f>
        <v>с101-1300</v>
      </c>
      <c r="C179" s="14" t="str">
        <f>Ресурсы!B14</f>
        <v>Топливо моторное для среднеоборотных и малооборотных дизелей марки ДТ</v>
      </c>
      <c r="D179" s="15" t="s">
        <v>110</v>
      </c>
      <c r="E179" s="1">
        <v>0.02</v>
      </c>
      <c r="F179" s="1">
        <f>ОКРУГЛВСЕ(IF(E179="",0,E179)*IF(F168="",0,F168),11)</f>
        <v>0.004</v>
      </c>
      <c r="G179" s="17">
        <f>ROUND(Ресурсы!D14*Начисления!AV12,2)</f>
        <v>20342.03</v>
      </c>
      <c r="H179" s="17">
        <f t="shared" si="2"/>
        <v>81.37</v>
      </c>
      <c r="I179" s="1" t="s">
        <v>38</v>
      </c>
      <c r="J179" s="1" t="s">
        <v>86</v>
      </c>
      <c r="M179" s="17">
        <f>ROUND(Ресурсы!C14*Начисления!AV12,2)</f>
        <v>0</v>
      </c>
      <c r="N179" s="17">
        <f t="shared" si="3"/>
        <v>0</v>
      </c>
    </row>
    <row r="180" spans="1:14" ht="10.5">
      <c r="A180" s="14" t="s">
        <v>132</v>
      </c>
      <c r="B180" s="18" t="str">
        <f>ПОЛУЧШИФР(Ресурсы!A19,0)</f>
        <v>с101-1805</v>
      </c>
      <c r="C180" s="14" t="str">
        <f>Ресурсы!B19</f>
        <v>Гвозди строительные</v>
      </c>
      <c r="D180" s="15" t="s">
        <v>110</v>
      </c>
      <c r="E180" s="1">
        <v>0.0008</v>
      </c>
      <c r="F180" s="1">
        <f>ОКРУГЛВСЕ(IF(E180="",0,E180)*IF(F168="",0,F168),11)</f>
        <v>0.00016</v>
      </c>
      <c r="G180" s="17">
        <f>ROUND(Ресурсы!D19*Начисления!AV12,2)</f>
        <v>58885.5</v>
      </c>
      <c r="H180" s="17">
        <f t="shared" si="2"/>
        <v>9.42</v>
      </c>
      <c r="I180" s="1" t="s">
        <v>38</v>
      </c>
      <c r="J180" s="1" t="s">
        <v>86</v>
      </c>
      <c r="M180" s="17">
        <f>ROUND(Ресурсы!C19*Начисления!AV12,2)</f>
        <v>0</v>
      </c>
      <c r="N180" s="17">
        <f t="shared" si="3"/>
        <v>0</v>
      </c>
    </row>
    <row r="181" spans="1:14" ht="21">
      <c r="A181" s="14" t="s">
        <v>133</v>
      </c>
      <c r="B181" s="18" t="str">
        <f>ПОЛУЧШИФР(Ресурсы!A20,0)</f>
        <v>с102-0025</v>
      </c>
      <c r="C181" s="14" t="str">
        <f>Ресурсы!B20</f>
        <v>Пиломатериалы хвойных пород. Бруски обрезные длиной 4-6.5 м, шириной 75-150 мм, толщиной 40-75 мм III сорта</v>
      </c>
      <c r="D181" s="15" t="s">
        <v>88</v>
      </c>
      <c r="E181" s="1">
        <v>0.04</v>
      </c>
      <c r="F181" s="1">
        <f>ОКРУГЛВСЕ(IF(E181="",0,E181)*IF(F168="",0,F168),11)</f>
        <v>0.008</v>
      </c>
      <c r="G181" s="17">
        <f>ROUND(Ресурсы!D20*Начисления!AV12,2)</f>
        <v>4695.17</v>
      </c>
      <c r="H181" s="17">
        <f t="shared" si="2"/>
        <v>37.56</v>
      </c>
      <c r="I181" s="1" t="s">
        <v>38</v>
      </c>
      <c r="J181" s="1" t="s">
        <v>86</v>
      </c>
      <c r="M181" s="17">
        <f>ROUND(Ресурсы!C20*Начисления!AV12,2)</f>
        <v>0</v>
      </c>
      <c r="N181" s="17">
        <f t="shared" si="3"/>
        <v>0</v>
      </c>
    </row>
    <row r="182" spans="1:14" ht="10.5">
      <c r="A182" s="14" t="s">
        <v>134</v>
      </c>
      <c r="B182" s="18" t="str">
        <f>ПОЛУЧШИФР(Ресурсы!A22,0)</f>
        <v>с103-1009</v>
      </c>
      <c r="C182" s="14" t="str">
        <f>Ресурсы!B22</f>
        <v>Фасонные стальные сварные части диаметр до 800 мм</v>
      </c>
      <c r="D182" s="15" t="s">
        <v>110</v>
      </c>
      <c r="E182" s="1">
        <v>0.32</v>
      </c>
      <c r="F182" s="1">
        <f>ОКРУГЛВСЕ(IF(E182="",0,E182)*IF(F168="",0,F168),11)</f>
        <v>0.064</v>
      </c>
      <c r="G182" s="17">
        <f>ROUND(Ресурсы!D22*Начисления!AV12,2)</f>
        <v>80659.38</v>
      </c>
      <c r="H182" s="17">
        <f t="shared" si="2"/>
        <v>5162.2</v>
      </c>
      <c r="I182" s="1" t="s">
        <v>38</v>
      </c>
      <c r="J182" s="1" t="s">
        <v>86</v>
      </c>
      <c r="M182" s="17">
        <f>ROUND(Ресурсы!C22*Начисления!AV12,2)</f>
        <v>0</v>
      </c>
      <c r="N182" s="17">
        <f t="shared" si="3"/>
        <v>0</v>
      </c>
    </row>
    <row r="183" spans="1:14" ht="10.5" hidden="1">
      <c r="A183" s="14" t="s">
        <v>134</v>
      </c>
      <c r="B183" s="14" t="s">
        <v>135</v>
      </c>
      <c r="C183" s="14" t="s">
        <v>136</v>
      </c>
      <c r="D183" s="15" t="s">
        <v>115</v>
      </c>
      <c r="E183" s="1">
        <v>0</v>
      </c>
      <c r="F183" s="1">
        <f>ОКРУГЛВСЕ(IF(E183="",0,E183)*IF(F168="",0,F168),11)</f>
        <v>0</v>
      </c>
      <c r="G183" s="17"/>
      <c r="H183" s="17">
        <f t="shared" si="2"/>
        <v>0</v>
      </c>
      <c r="I183" s="1" t="s">
        <v>38</v>
      </c>
      <c r="J183" s="1" t="s">
        <v>86</v>
      </c>
      <c r="M183" s="17"/>
      <c r="N183" s="17">
        <f t="shared" si="3"/>
        <v>0</v>
      </c>
    </row>
    <row r="184" spans="1:14" ht="31.5" hidden="1">
      <c r="A184" s="14" t="s">
        <v>134</v>
      </c>
      <c r="B184" s="14" t="s">
        <v>137</v>
      </c>
      <c r="C184" s="14" t="s">
        <v>138</v>
      </c>
      <c r="D184" s="15" t="s">
        <v>110</v>
      </c>
      <c r="E184" s="1">
        <v>0</v>
      </c>
      <c r="F184" s="1">
        <f>ОКРУГЛВСЕ(IF(E184="",0,E184)*IF(F168="",0,F168),11)</f>
        <v>0</v>
      </c>
      <c r="G184" s="17"/>
      <c r="H184" s="17">
        <f t="shared" si="2"/>
        <v>0</v>
      </c>
      <c r="I184" s="1" t="s">
        <v>38</v>
      </c>
      <c r="J184" s="1" t="s">
        <v>86</v>
      </c>
      <c r="M184" s="17"/>
      <c r="N184" s="17">
        <f t="shared" si="3"/>
        <v>0</v>
      </c>
    </row>
    <row r="185" spans="1:14" ht="10.5">
      <c r="A185" s="14" t="s">
        <v>139</v>
      </c>
      <c r="B185" s="18" t="str">
        <f>ПОЛУЧШИФР(Ресурсы!A24,0)</f>
        <v>с203-0512</v>
      </c>
      <c r="C185" s="14" t="str">
        <f>Ресурсы!B24</f>
        <v>Щиты из досок толщиной 40 мм</v>
      </c>
      <c r="D185" s="15" t="s">
        <v>85</v>
      </c>
      <c r="E185" s="1">
        <v>1.2</v>
      </c>
      <c r="F185" s="1">
        <f>ОКРУГЛВСЕ(IF(E185="",0,E185)*IF(F168="",0,F168),11)</f>
        <v>0.24</v>
      </c>
      <c r="G185" s="17">
        <f>ROUND(Ресурсы!D24*Начисления!AV12,2)</f>
        <v>132.32</v>
      </c>
      <c r="H185" s="17">
        <f t="shared" si="2"/>
        <v>31.76</v>
      </c>
      <c r="I185" s="1" t="s">
        <v>38</v>
      </c>
      <c r="J185" s="1" t="s">
        <v>86</v>
      </c>
      <c r="M185" s="17">
        <f>ROUND(Ресурсы!C24*Начисления!AV12,2)</f>
        <v>0</v>
      </c>
      <c r="N185" s="17">
        <f t="shared" si="3"/>
        <v>0</v>
      </c>
    </row>
    <row r="186" spans="1:14" ht="10.5">
      <c r="A186" s="14" t="s">
        <v>140</v>
      </c>
      <c r="B186" s="18" t="str">
        <f>ПОЛУЧШИФР(Ресурсы!A25,0)</f>
        <v>с204-9001</v>
      </c>
      <c r="C186" s="14" t="str">
        <f>Ресурсы!B25</f>
        <v>Арматура</v>
      </c>
      <c r="D186" s="15" t="s">
        <v>110</v>
      </c>
      <c r="E186" s="1">
        <v>0.64</v>
      </c>
      <c r="F186" s="1">
        <f>ОКРУГЛВСЕ(IF(E186="",0,E186)*IF(F168="",0,F168),11)</f>
        <v>0.128</v>
      </c>
      <c r="G186" s="17">
        <f>ROUND(Ресурсы!D25*Начисления!AV12,2)</f>
        <v>33130</v>
      </c>
      <c r="H186" s="17">
        <f t="shared" si="2"/>
        <v>4240.64</v>
      </c>
      <c r="I186" s="1" t="s">
        <v>38</v>
      </c>
      <c r="J186" s="1" t="s">
        <v>86</v>
      </c>
      <c r="M186" s="17">
        <f>ROUND(Ресурсы!C25*Начисления!AV12,2)</f>
        <v>0</v>
      </c>
      <c r="N186" s="17">
        <f t="shared" si="3"/>
        <v>0</v>
      </c>
    </row>
    <row r="187" spans="1:14" ht="10.5">
      <c r="A187" s="14" t="s">
        <v>141</v>
      </c>
      <c r="B187" s="18" t="str">
        <f>ПОЛУЧШИФР(Ресурсы!A29,0)</f>
        <v>с401-0003</v>
      </c>
      <c r="C187" s="14" t="str">
        <f>Ресурсы!B29</f>
        <v>Бетон тяжелый, класс В 7,5 (М100)</v>
      </c>
      <c r="D187" s="15" t="s">
        <v>88</v>
      </c>
      <c r="E187" s="1">
        <v>2.72</v>
      </c>
      <c r="F187" s="1">
        <f>ОКРУГЛВСЕ(IF(E187="",0,E187)*IF(F168="",0,F168),11)</f>
        <v>0.544</v>
      </c>
      <c r="G187" s="17">
        <f>ROUND(Ресурсы!D29*Начисления!AV12,2)</f>
        <v>2908.13</v>
      </c>
      <c r="H187" s="17">
        <f t="shared" si="2"/>
        <v>1582.02</v>
      </c>
      <c r="I187" s="1" t="s">
        <v>38</v>
      </c>
      <c r="J187" s="1" t="s">
        <v>86</v>
      </c>
      <c r="M187" s="17">
        <f>ROUND(Ресурсы!C29*Начисления!AV12,2)</f>
        <v>0</v>
      </c>
      <c r="N187" s="17">
        <f t="shared" si="3"/>
        <v>0</v>
      </c>
    </row>
    <row r="188" spans="1:14" ht="10.5">
      <c r="A188" s="14" t="s">
        <v>142</v>
      </c>
      <c r="B188" s="18" t="str">
        <f>ПОЛУЧШИФР(Ресурсы!A30,0)</f>
        <v>с401-0004</v>
      </c>
      <c r="C188" s="14" t="str">
        <f>Ресурсы!B30</f>
        <v>Бетон тяжелый, класс В 10 (М150)</v>
      </c>
      <c r="D188" s="15" t="s">
        <v>88</v>
      </c>
      <c r="E188" s="1">
        <v>1.01</v>
      </c>
      <c r="F188" s="1">
        <f>ОКРУГЛВСЕ(IF(E188="",0,E188)*IF(F168="",0,F168),11)</f>
        <v>0.202</v>
      </c>
      <c r="G188" s="17">
        <f>ROUND(Ресурсы!D30*Начисления!AV12,2)</f>
        <v>3053.01</v>
      </c>
      <c r="H188" s="17">
        <f t="shared" si="2"/>
        <v>616.71</v>
      </c>
      <c r="I188" s="1" t="s">
        <v>38</v>
      </c>
      <c r="J188" s="1" t="s">
        <v>86</v>
      </c>
      <c r="M188" s="17">
        <f>ROUND(Ресурсы!C30*Начисления!AV12,2)</f>
        <v>0</v>
      </c>
      <c r="N188" s="17">
        <f t="shared" si="3"/>
        <v>0</v>
      </c>
    </row>
    <row r="189" spans="1:14" ht="10.5">
      <c r="A189" s="14" t="s">
        <v>143</v>
      </c>
      <c r="B189" s="18" t="str">
        <f>ПОЛУЧШИФР(Ресурсы!A31,0)</f>
        <v>с402-9050</v>
      </c>
      <c r="C189" s="14" t="str">
        <f>Ресурсы!B31</f>
        <v>Раствор цементный</v>
      </c>
      <c r="D189" s="15" t="s">
        <v>88</v>
      </c>
      <c r="E189" s="1">
        <v>0.1</v>
      </c>
      <c r="F189" s="1">
        <f>ОКРУГЛВСЕ(IF(E189="",0,E189)*IF(F168="",0,F168),11)</f>
        <v>0.02</v>
      </c>
      <c r="G189" s="17">
        <f>ROUND(Ресурсы!D31*Начисления!AV12,2)</f>
        <v>3406.56</v>
      </c>
      <c r="H189" s="17">
        <f t="shared" si="2"/>
        <v>68.13</v>
      </c>
      <c r="I189" s="1" t="s">
        <v>38</v>
      </c>
      <c r="J189" s="1" t="s">
        <v>86</v>
      </c>
      <c r="M189" s="17">
        <f>ROUND(Ресурсы!C31*Начисления!AV12,2)</f>
        <v>0</v>
      </c>
      <c r="N189" s="17">
        <f t="shared" si="3"/>
        <v>0</v>
      </c>
    </row>
    <row r="190" spans="1:14" ht="10.5">
      <c r="A190" s="14" t="s">
        <v>144</v>
      </c>
      <c r="B190" s="18" t="str">
        <f>ПОЛУЧШИФР(Ресурсы!A32,0)</f>
        <v>с402-9086</v>
      </c>
      <c r="C190" s="14" t="str">
        <f>Ресурсы!B32</f>
        <v>Раствор асбоцементный</v>
      </c>
      <c r="D190" s="15" t="s">
        <v>88</v>
      </c>
      <c r="E190" s="1">
        <v>0.034</v>
      </c>
      <c r="F190" s="1">
        <f>ОКРУГЛВСЕ(IF(E190="",0,E190)*IF(F168="",0,F168),11)</f>
        <v>0.0068</v>
      </c>
      <c r="G190" s="17">
        <f>ROUND(Ресурсы!D32*Начисления!AV12,2)</f>
        <v>1852.73</v>
      </c>
      <c r="H190" s="17">
        <f t="shared" si="2"/>
        <v>12.6</v>
      </c>
      <c r="I190" s="1" t="s">
        <v>38</v>
      </c>
      <c r="J190" s="1" t="s">
        <v>86</v>
      </c>
      <c r="M190" s="17">
        <f>ROUND(Ресурсы!C32*Начисления!AV12,2)</f>
        <v>0</v>
      </c>
      <c r="N190" s="17">
        <f t="shared" si="3"/>
        <v>0</v>
      </c>
    </row>
    <row r="191" spans="1:14" ht="21">
      <c r="A191" s="14" t="s">
        <v>145</v>
      </c>
      <c r="B191" s="18" t="str">
        <f>ПОЛУЧШИФР(Ресурсы!A33,0)</f>
        <v>с410-9031</v>
      </c>
      <c r="C191" s="14" t="str">
        <f>Ресурсы!B33</f>
        <v>Смеси асфальтобетонные дорожные мелкозернистые и среднезернистые щебеночные типа Б марки 1</v>
      </c>
      <c r="D191" s="15" t="s">
        <v>110</v>
      </c>
      <c r="E191" s="1">
        <v>0.9</v>
      </c>
      <c r="F191" s="1">
        <f>ОКРУГЛВСЕ(IF(E191="",0,E191)*IF(F168="",0,F168),11)</f>
        <v>0.18</v>
      </c>
      <c r="G191" s="17">
        <f>ROUND(Ресурсы!D33*Начисления!AV12,2)</f>
        <v>1850</v>
      </c>
      <c r="H191" s="17">
        <f t="shared" si="2"/>
        <v>333</v>
      </c>
      <c r="I191" s="1" t="s">
        <v>38</v>
      </c>
      <c r="J191" s="1" t="s">
        <v>86</v>
      </c>
      <c r="M191" s="17">
        <f>ROUND(Ресурсы!C33*Начисления!AV12,2)</f>
        <v>0</v>
      </c>
      <c r="N191" s="17">
        <f t="shared" si="3"/>
        <v>0</v>
      </c>
    </row>
    <row r="192" spans="1:14" ht="9" customHeight="1">
      <c r="A192" s="14" t="s">
        <v>146</v>
      </c>
      <c r="B192" s="18" t="str">
        <f>ПОЛУЧШИФР(Ресурсы!A34,0)</f>
        <v>с411-0001</v>
      </c>
      <c r="C192" s="14" t="str">
        <f>Ресурсы!B34</f>
        <v>Вода</v>
      </c>
      <c r="D192" s="15" t="s">
        <v>88</v>
      </c>
      <c r="E192" s="1">
        <v>0.0031</v>
      </c>
      <c r="F192" s="1">
        <f>ОКРУГЛВСЕ(IF(E192="",0,E192)*IF(F168="",0,F168),11)</f>
        <v>0.00062</v>
      </c>
      <c r="G192" s="17">
        <f>ROUND(Ресурсы!D34*Начисления!AV12,2)</f>
        <v>11.63</v>
      </c>
      <c r="H192" s="17">
        <f t="shared" si="2"/>
        <v>0.01</v>
      </c>
      <c r="I192" s="1" t="s">
        <v>38</v>
      </c>
      <c r="J192" s="1" t="s">
        <v>86</v>
      </c>
      <c r="M192" s="17">
        <f>ROUND(Ресурсы!C34*Начисления!AV12,2)</f>
        <v>0</v>
      </c>
      <c r="N192" s="17">
        <f t="shared" si="3"/>
        <v>0</v>
      </c>
    </row>
    <row r="193" spans="1:14" ht="10.5" hidden="1">
      <c r="A193" s="14" t="s">
        <v>147</v>
      </c>
      <c r="B193" s="18" t="str">
        <f>ПОЛУЧШИФР(Ресурсы!A35,0)</f>
        <v>с440-9152</v>
      </c>
      <c r="C193" s="14" t="str">
        <f>Ресурсы!B35</f>
        <v>Кольца для колодцев сборные железобетонные диаметром 700 мм</v>
      </c>
      <c r="D193" s="15" t="s">
        <v>90</v>
      </c>
      <c r="E193" s="1">
        <v>5.8</v>
      </c>
      <c r="F193" s="1">
        <f>ОКРУГЛВСЕ(IF(E193="",0,E193)*IF(F168="",0,F168),11)</f>
        <v>1.16</v>
      </c>
      <c r="G193" s="17">
        <f>ROUND(Ресурсы!D35*Начисления!AV12,2)</f>
        <v>0</v>
      </c>
      <c r="H193" s="17">
        <f t="shared" si="2"/>
        <v>0</v>
      </c>
      <c r="I193" s="1" t="s">
        <v>38</v>
      </c>
      <c r="J193" s="1" t="s">
        <v>86</v>
      </c>
      <c r="M193" s="17">
        <f>ROUND(Ресурсы!C35*Начисления!AV12,2)</f>
        <v>0</v>
      </c>
      <c r="N193" s="17">
        <f t="shared" si="3"/>
        <v>0</v>
      </c>
    </row>
    <row r="194" spans="1:14" ht="10.5" hidden="1">
      <c r="A194" s="14" t="s">
        <v>148</v>
      </c>
      <c r="B194" s="18" t="str">
        <f>ПОЛУЧШИФР(Ресурсы!A36,0)</f>
        <v>с440-9153</v>
      </c>
      <c r="C194" s="14" t="str">
        <f>Ресурсы!B36</f>
        <v>Кольца для колодцев сборные железобетонные диаметром 1500 мм</v>
      </c>
      <c r="D194" s="15" t="s">
        <v>90</v>
      </c>
      <c r="E194" s="1">
        <v>9.6</v>
      </c>
      <c r="F194" s="1">
        <f>ОКРУГЛВСЕ(IF(E194="",0,E194)*IF(F168="",0,F168),11)</f>
        <v>1.92</v>
      </c>
      <c r="G194" s="17"/>
      <c r="H194" s="17">
        <f t="shared" si="2"/>
        <v>0</v>
      </c>
      <c r="I194" s="1" t="s">
        <v>38</v>
      </c>
      <c r="J194" s="1" t="s">
        <v>86</v>
      </c>
      <c r="M194" s="17">
        <f>ROUND(Ресурсы!C36*Начисления!AV12,2)</f>
        <v>0</v>
      </c>
      <c r="N194" s="17">
        <f t="shared" si="3"/>
        <v>0</v>
      </c>
    </row>
    <row r="195" spans="1:14" ht="10.5" hidden="1">
      <c r="A195" s="14" t="s">
        <v>149</v>
      </c>
      <c r="B195" s="18" t="str">
        <f>ПОЛУЧШИФР(Ресурсы!A37,0)</f>
        <v>с445-3120</v>
      </c>
      <c r="C195" s="14" t="str">
        <f>Ресурсы!B37</f>
        <v>Плиты железобетонные покрытий, перекрытий и днищ</v>
      </c>
      <c r="D195" s="15" t="s">
        <v>88</v>
      </c>
      <c r="E195" s="1">
        <v>3.95</v>
      </c>
      <c r="F195" s="1">
        <f>ОКРУГЛВСЕ(IF(E195="",0,E195)*IF(F168="",0,F168),11)</f>
        <v>0.79</v>
      </c>
      <c r="G195" s="17"/>
      <c r="H195" s="17">
        <f t="shared" si="2"/>
        <v>0</v>
      </c>
      <c r="I195" s="1" t="s">
        <v>38</v>
      </c>
      <c r="J195" s="1" t="s">
        <v>86</v>
      </c>
      <c r="M195" s="17">
        <f>ROUND(Ресурсы!C37*Начисления!AV12,2)</f>
        <v>0</v>
      </c>
      <c r="N195" s="17">
        <f t="shared" si="3"/>
        <v>0</v>
      </c>
    </row>
    <row r="196" spans="3:8" ht="10.5" hidden="1">
      <c r="C196" s="21" t="s">
        <v>42</v>
      </c>
      <c r="H196" s="1">
        <v>3429.44</v>
      </c>
    </row>
    <row r="197" spans="3:8" ht="10.5" hidden="1">
      <c r="C197" s="21" t="s">
        <v>43</v>
      </c>
      <c r="H197" s="1">
        <v>2889.55</v>
      </c>
    </row>
    <row r="198" spans="3:8" ht="10.5" hidden="1">
      <c r="C198" s="21" t="s">
        <v>44</v>
      </c>
      <c r="H198" s="1">
        <v>741.17</v>
      </c>
    </row>
    <row r="199" spans="3:8" ht="10.5" hidden="1">
      <c r="C199" s="21" t="s">
        <v>45</v>
      </c>
      <c r="H199" s="1">
        <v>28063.55</v>
      </c>
    </row>
    <row r="200" ht="10.5" hidden="1">
      <c r="C200" s="21" t="s">
        <v>46</v>
      </c>
    </row>
    <row r="201" spans="3:13" ht="21" hidden="1">
      <c r="C201" s="21" t="s">
        <v>47</v>
      </c>
      <c r="G201" s="22"/>
      <c r="I201" s="1" t="s">
        <v>48</v>
      </c>
      <c r="M201" s="22"/>
    </row>
    <row r="202" ht="10.5" hidden="1">
      <c r="C202" s="21" t="s">
        <v>49</v>
      </c>
    </row>
    <row r="203" ht="10.5" hidden="1">
      <c r="C203" s="21" t="s">
        <v>50</v>
      </c>
    </row>
    <row r="204" ht="10.5" hidden="1">
      <c r="C204" s="21" t="s">
        <v>51</v>
      </c>
    </row>
    <row r="205" spans="3:14" ht="10.5">
      <c r="C205" s="21" t="s">
        <v>52</v>
      </c>
      <c r="G205" s="1">
        <v>117</v>
      </c>
      <c r="H205" s="23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  <v>4879.61</v>
      </c>
      <c r="J205" s="14" t="s">
        <v>53</v>
      </c>
      <c r="N205" s="23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</row>
    <row r="206" spans="3:14" ht="10.5" hidden="1">
      <c r="C206" s="21" t="s">
        <v>54</v>
      </c>
      <c r="G206" s="1">
        <v>117</v>
      </c>
      <c r="H206" s="23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  <v>4012.45</v>
      </c>
      <c r="J206" s="14" t="s">
        <v>55</v>
      </c>
      <c r="N206" s="23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</row>
    <row r="207" spans="3:14" ht="10.5" hidden="1">
      <c r="C207" s="21" t="s">
        <v>56</v>
      </c>
      <c r="G207" s="1">
        <v>117</v>
      </c>
      <c r="H207" s="23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  <v>867.17</v>
      </c>
      <c r="J207" s="14" t="s">
        <v>57</v>
      </c>
      <c r="N207" s="23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</row>
    <row r="208" spans="3:14" ht="10.5">
      <c r="C208" s="21" t="s">
        <v>58</v>
      </c>
      <c r="G208" s="1">
        <v>75.65</v>
      </c>
      <c r="H208" s="23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  <v>3155.07</v>
      </c>
      <c r="J208" s="14" t="s">
        <v>59</v>
      </c>
      <c r="N208" s="23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</row>
    <row r="209" spans="3:14" ht="10.5" hidden="1">
      <c r="C209" s="21" t="s">
        <v>60</v>
      </c>
      <c r="G209" s="1">
        <v>75.65</v>
      </c>
      <c r="H209" s="23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  <v>2594.37</v>
      </c>
      <c r="J209" s="14" t="s">
        <v>61</v>
      </c>
      <c r="N209" s="23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</row>
    <row r="210" spans="3:14" ht="10.5" hidden="1">
      <c r="C210" s="21" t="s">
        <v>62</v>
      </c>
      <c r="G210" s="1">
        <v>75.65</v>
      </c>
      <c r="H210" s="23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  <v>560.7</v>
      </c>
      <c r="J210" s="14" t="s">
        <v>63</v>
      </c>
      <c r="N210" s="23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</row>
    <row r="211" spans="3:8" ht="10.5">
      <c r="C211" s="21" t="s">
        <v>64</v>
      </c>
      <c r="H211" s="23">
        <f>ROUND(IF(H168="",0,H168)+IF(H205="",0,H205)+IF(H208="",0,H208),2)</f>
        <v>29070.62</v>
      </c>
    </row>
    <row r="212" spans="1:14" ht="21">
      <c r="A212" s="24" t="s">
        <v>150</v>
      </c>
      <c r="B212" s="24" t="s">
        <v>151</v>
      </c>
      <c r="C212" s="24" t="s">
        <v>152</v>
      </c>
      <c r="D212" s="25" t="s">
        <v>29</v>
      </c>
      <c r="E212" s="26"/>
      <c r="F212" s="27">
        <v>1.425</v>
      </c>
      <c r="G212" s="28">
        <f>ROUND(СУММПРОИЗВЕСЛИ(1,I212:I215,"s",E212:E215,G212:G215,0),2)</f>
        <v>3300.98</v>
      </c>
      <c r="H212" s="28">
        <f>ROUND(СУММПРОИЗВЕСЛИ(F212,I212:I215,"s",E212:E215,G212:G215,0),2)</f>
        <v>4703.9</v>
      </c>
      <c r="I212" s="1" t="s">
        <v>30</v>
      </c>
      <c r="M212" s="13">
        <f>ROUND(СУММПРОИЗВЕСЛИ(1,I212:I215,"s",E212:E215,M212:M215,0),2)</f>
        <v>0</v>
      </c>
      <c r="N212" s="13">
        <f>ROUND(СУММПРОИЗВЕСЛИ(F212,I212:I215,"s",E212:E215,M212:M215,0),2)</f>
        <v>0</v>
      </c>
    </row>
    <row r="213" spans="1:14" ht="10.5">
      <c r="A213" s="14" t="s">
        <v>153</v>
      </c>
      <c r="B213" s="14" t="s">
        <v>32</v>
      </c>
      <c r="C213" s="14" t="s">
        <v>33</v>
      </c>
      <c r="D213" s="15" t="s">
        <v>34</v>
      </c>
      <c r="E213" s="1">
        <f>ОКРУГЛВСЕ(СУММПРОИЗВЕСЛИ(1,K212:K215,"mWithZTM",D212:D215,E212:E215,-1)+СУММКОЭФПРОЦЕНТЕСЛИ(1,1,K212:K215,"mWithZTM_Proch",E212:E215,-1),11)</f>
        <v>10.2005</v>
      </c>
      <c r="F213" s="1">
        <f>ОКРУГЛВСЕ(СУММПРОИЗВЕСЛИ(1,K212:K215,"mWithZTM",D212:D215,F212:F215,-1)+СУММКОЭФПРОЦЕНТЕСЛИ(1,1,K212:K215,"mWithZTM_Proch",F212:F215,-1),11)</f>
        <v>14.5357125</v>
      </c>
      <c r="G213" s="16">
        <f>IF(F213=0,0,ROUND(H213/F213,3))</f>
        <v>147.82</v>
      </c>
      <c r="H213" s="17">
        <f>ROUND(СУММЕСЛИДА1НЕ1(L212:L215,"mWithZPM",D212:D215,0,H212:H215),2)</f>
        <v>2148.67</v>
      </c>
      <c r="J213" s="1" t="s">
        <v>35</v>
      </c>
      <c r="M213" s="16">
        <f>IF(F213=0,0,ROUND(N213/F213,3))</f>
        <v>0</v>
      </c>
      <c r="N213" s="17">
        <f>ROUND(СУММЕСЛИДА1НЕ1(L212:L215,"mWithZPM",D212:D215,0,N212:N215),2)</f>
        <v>0</v>
      </c>
    </row>
    <row r="214" spans="1:14" ht="10.5">
      <c r="A214" s="72" t="s">
        <v>154</v>
      </c>
      <c r="B214" s="73" t="str">
        <f>ПОЛУЧШИФР(Ресурсы!A62,0)</f>
        <v>х07-0148</v>
      </c>
      <c r="C214" s="72" t="str">
        <f>Ресурсы!B62</f>
        <v>Бульдозеры при работе на других видах строительства (кроме водохозяйственного) 59 (80) кВт (л.с.)</v>
      </c>
      <c r="D214" s="19" t="s">
        <v>37</v>
      </c>
      <c r="E214" s="69">
        <v>10.2005</v>
      </c>
      <c r="F214" s="69">
        <f>ОКРУГЛВСЕ(IF(E214="",0,E214)*IF(F212="",0,F212),11)</f>
        <v>14.5357125</v>
      </c>
      <c r="G214" s="20">
        <f>Ресурсы!D62</f>
        <v>323.61</v>
      </c>
      <c r="H214" s="20">
        <f>ROUND(IF(F214="",0,F214)*IF(G214="",0,G214),2)</f>
        <v>4703.9</v>
      </c>
      <c r="I214" s="1" t="s">
        <v>38</v>
      </c>
      <c r="J214" s="1" t="s">
        <v>39</v>
      </c>
      <c r="M214" s="20">
        <f>Ресурсы!C62</f>
        <v>0</v>
      </c>
      <c r="N214" s="20">
        <f>ROUND(IF(F214="",0,F214)*IF(M214="",0,M214),2)</f>
        <v>0</v>
      </c>
    </row>
    <row r="215" spans="1:14" ht="21">
      <c r="A215" s="72"/>
      <c r="B215" s="73"/>
      <c r="C215" s="72"/>
      <c r="D215" s="1">
        <f>Ресурсы!G62</f>
        <v>1</v>
      </c>
      <c r="E215" s="69"/>
      <c r="F215" s="69"/>
      <c r="G215" s="17">
        <f>Ресурсы!F62</f>
        <v>147.82</v>
      </c>
      <c r="H215" s="17">
        <f>ROUND(IF(F214="",0,F214)*IF(G215="",0,G215),2)</f>
        <v>2148.67</v>
      </c>
      <c r="K215" s="1" t="s">
        <v>40</v>
      </c>
      <c r="L215" s="1" t="s">
        <v>41</v>
      </c>
      <c r="M215" s="17">
        <f>Ресурсы!E62</f>
        <v>0</v>
      </c>
      <c r="N215" s="17">
        <f>ROUND(IF(F214="",0,F214)*IF(M215="",0,M215),2)</f>
        <v>0</v>
      </c>
    </row>
    <row r="216" ht="10.5" hidden="1">
      <c r="C216" s="21" t="s">
        <v>42</v>
      </c>
    </row>
    <row r="217" spans="3:8" ht="10.5" hidden="1">
      <c r="C217" s="21" t="s">
        <v>43</v>
      </c>
      <c r="H217" s="1">
        <v>4703.9</v>
      </c>
    </row>
    <row r="218" spans="3:8" ht="10.5" hidden="1">
      <c r="C218" s="21" t="s">
        <v>44</v>
      </c>
      <c r="H218" s="1">
        <v>2148.67</v>
      </c>
    </row>
    <row r="219" ht="10.5" hidden="1">
      <c r="C219" s="21" t="s">
        <v>45</v>
      </c>
    </row>
    <row r="220" ht="10.5" hidden="1">
      <c r="C220" s="21" t="s">
        <v>46</v>
      </c>
    </row>
    <row r="221" spans="3:13" ht="21" hidden="1">
      <c r="C221" s="21" t="s">
        <v>47</v>
      </c>
      <c r="G221" s="22"/>
      <c r="I221" s="1" t="s">
        <v>48</v>
      </c>
      <c r="M221" s="22"/>
    </row>
    <row r="222" ht="10.5" hidden="1">
      <c r="C222" s="21" t="s">
        <v>49</v>
      </c>
    </row>
    <row r="223" ht="10.5" hidden="1">
      <c r="C223" s="21" t="s">
        <v>50</v>
      </c>
    </row>
    <row r="224" ht="10.5" hidden="1">
      <c r="C224" s="21" t="s">
        <v>51</v>
      </c>
    </row>
    <row r="225" spans="3:14" ht="10.5">
      <c r="C225" s="21" t="s">
        <v>52</v>
      </c>
      <c r="G225" s="1">
        <v>85.5</v>
      </c>
      <c r="H225" s="23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  <v>1837.11</v>
      </c>
      <c r="J225" s="14" t="s">
        <v>53</v>
      </c>
      <c r="N225" s="23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</row>
    <row r="226" spans="3:14" ht="10.5" hidden="1">
      <c r="C226" s="21" t="s">
        <v>54</v>
      </c>
      <c r="H226" s="23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</c>
      <c r="J226" s="14" t="s">
        <v>55</v>
      </c>
      <c r="N226" s="23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</c>
    </row>
    <row r="227" spans="3:14" ht="10.5" hidden="1">
      <c r="C227" s="21" t="s">
        <v>56</v>
      </c>
      <c r="G227" s="1">
        <v>85.5</v>
      </c>
      <c r="H227" s="23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  <v>1837.11</v>
      </c>
      <c r="J227" s="14" t="s">
        <v>57</v>
      </c>
      <c r="N227" s="23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</c>
    </row>
    <row r="228" spans="3:14" ht="10.5">
      <c r="C228" s="21" t="s">
        <v>58</v>
      </c>
      <c r="G228" s="1">
        <v>42.5</v>
      </c>
      <c r="H228" s="23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  <v>913.18</v>
      </c>
      <c r="J228" s="14" t="s">
        <v>59</v>
      </c>
      <c r="N228" s="23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</row>
    <row r="229" spans="3:14" ht="10.5" hidden="1">
      <c r="C229" s="21" t="s">
        <v>60</v>
      </c>
      <c r="H229" s="23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</c>
      <c r="J229" s="14" t="s">
        <v>61</v>
      </c>
      <c r="N229" s="23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</c>
    </row>
    <row r="230" spans="3:14" ht="10.5" hidden="1">
      <c r="C230" s="21" t="s">
        <v>62</v>
      </c>
      <c r="G230" s="1">
        <v>42.5</v>
      </c>
      <c r="H230" s="23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  <v>913.19</v>
      </c>
      <c r="J230" s="14" t="s">
        <v>63</v>
      </c>
      <c r="N230" s="23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</c>
    </row>
    <row r="231" spans="3:8" ht="10.5">
      <c r="C231" s="21" t="s">
        <v>64</v>
      </c>
      <c r="H231" s="23">
        <f>ROUND(IF(H212="",0,H212)+IF(H225="",0,H225)+IF(H228="",0,H228),2)</f>
        <v>7454.19</v>
      </c>
    </row>
    <row r="232" spans="1:14" ht="31.5">
      <c r="A232" s="24" t="s">
        <v>155</v>
      </c>
      <c r="B232" s="24" t="s">
        <v>156</v>
      </c>
      <c r="C232" s="48" t="s">
        <v>636</v>
      </c>
      <c r="D232" s="25" t="s">
        <v>76</v>
      </c>
      <c r="E232" s="26"/>
      <c r="F232" s="27">
        <v>0.1</v>
      </c>
      <c r="G232" s="28">
        <f>ROUND(СУММПРОИЗВЕСЛИ(1,I232:I253,"s",E232:E253,G232:G253,0),2)</f>
        <v>34131.52</v>
      </c>
      <c r="H232" s="28">
        <f>ROUND(СУММПРОИЗВЕСЛИ(F232,I232:I253,"s",E232:E253,G232:G253,0),2)</f>
        <v>3413.15</v>
      </c>
      <c r="I232" s="1" t="s">
        <v>30</v>
      </c>
      <c r="M232" s="13">
        <f>ROUND(СУММПРОИЗВЕСЛИ(1,I232:I253,"s",E232:E253,M232:M253,0),2)</f>
        <v>0</v>
      </c>
      <c r="N232" s="13">
        <f>ROUND(СУММПРОИЗВЕСЛИ(F232,I232:I253,"s",E232:E253,M232:M253,0),2)</f>
        <v>0</v>
      </c>
    </row>
    <row r="233" ht="10.5">
      <c r="C233" s="29" t="s">
        <v>157</v>
      </c>
    </row>
    <row r="234" spans="1:14" ht="10.5">
      <c r="A234" s="14" t="s">
        <v>158</v>
      </c>
      <c r="B234" s="14" t="s">
        <v>32</v>
      </c>
      <c r="C234" s="14" t="s">
        <v>33</v>
      </c>
      <c r="D234" s="15" t="s">
        <v>34</v>
      </c>
      <c r="E234" s="1">
        <f>ОКРУГЛВСЕ(СУММПРОИЗВЕСЛИ(1,K232:K253,"mWithZTM",D232:D253,E232:E253,-1)+СУММКОЭФПРОЦЕНТЕСЛИ(1,1,K232:K253,"mWithZTM_Proch",E232:E253,-1),11)</f>
        <v>24.882</v>
      </c>
      <c r="F234" s="1">
        <f>ОКРУГЛВСЕ(СУММПРОИЗВЕСЛИ(1,K232:K253,"mWithZTM",D232:D253,F232:F253,-1)+СУММКОЭФПРОЦЕНТЕСЛИ(1,1,K232:K253,"mWithZTM_Proch",F232:F253,-1),11)</f>
        <v>2.4882</v>
      </c>
      <c r="G234" s="16">
        <f>IF(F234=0,0,ROUND(H234/F234,3))</f>
        <v>141.034</v>
      </c>
      <c r="H234" s="17">
        <f>ROUND(СУММЕСЛИДА1НЕ1(L232:L253,"mWithZPM",D232:D253,0,H232:H253),2)</f>
        <v>350.92</v>
      </c>
      <c r="J234" s="1" t="s">
        <v>35</v>
      </c>
      <c r="M234" s="16">
        <f>IF(F234=0,0,ROUND(N234/F234,3))</f>
        <v>0</v>
      </c>
      <c r="N234" s="17">
        <f>ROUND(СУММЕСЛИДА1НЕ1(L232:L253,"mWithZPM",D232:D253,0,N232:N253),2)</f>
        <v>0</v>
      </c>
    </row>
    <row r="235" spans="1:14" ht="10.5">
      <c r="A235" s="14" t="s">
        <v>159</v>
      </c>
      <c r="B235" s="18" t="str">
        <f>ПОЛУЧШИФР(Ресурсы!A8,0)</f>
        <v>з000-1004-5</v>
      </c>
      <c r="C235" s="14" t="str">
        <f>Ресурсы!B8</f>
        <v>Рабочие-строители (средний разряд 4.5)</v>
      </c>
      <c r="D235" s="15" t="s">
        <v>34</v>
      </c>
      <c r="E235" s="1">
        <v>211.8</v>
      </c>
      <c r="F235" s="1">
        <f>ОКРУГЛВСЕ(IF(E235="",0,E235)*IF(F232="",0,F232),11)</f>
        <v>21.18</v>
      </c>
      <c r="G235" s="16">
        <f>Ресурсы!D8</f>
        <v>109.44</v>
      </c>
      <c r="H235" s="17">
        <f>ROUND(IF(F235="",0,F235)*IF(G235="",0,G235),2)</f>
        <v>2317.94</v>
      </c>
      <c r="I235" s="1" t="s">
        <v>38</v>
      </c>
      <c r="J235" s="1" t="s">
        <v>72</v>
      </c>
      <c r="M235" s="16">
        <f>Ресурсы!C8</f>
        <v>0</v>
      </c>
      <c r="N235" s="17">
        <f>ROUND(IF(F235="",0,F235)*IF(M235="",0,M235),2)</f>
        <v>0</v>
      </c>
    </row>
    <row r="236" spans="1:14" ht="10.5">
      <c r="A236" s="72" t="s">
        <v>160</v>
      </c>
      <c r="B236" s="73" t="str">
        <f>ПОЛУЧШИФР(Ресурсы!A53,0)</f>
        <v>х04-0102</v>
      </c>
      <c r="C236" s="72" t="str">
        <f>Ресурсы!B53</f>
        <v>Электростанции передвижные 4 кВт</v>
      </c>
      <c r="D236" s="19" t="s">
        <v>37</v>
      </c>
      <c r="E236" s="69">
        <v>6.702</v>
      </c>
      <c r="F236" s="69">
        <f>ОКРУГЛВСЕ(IF(E236="",0,E236)*IF(F232="",0,F232),11)</f>
        <v>0.6702</v>
      </c>
      <c r="G236" s="20">
        <f>Ресурсы!D53</f>
        <v>188.44</v>
      </c>
      <c r="H236" s="20">
        <f>ROUND(IF(F236="",0,F236)*IF(G236="",0,G236),2)</f>
        <v>126.29</v>
      </c>
      <c r="I236" s="1" t="s">
        <v>38</v>
      </c>
      <c r="J236" s="1" t="s">
        <v>39</v>
      </c>
      <c r="M236" s="20">
        <f>Ресурсы!C53</f>
        <v>0</v>
      </c>
      <c r="N236" s="20">
        <f>ROUND(IF(F236="",0,F236)*IF(M236="",0,M236),2)</f>
        <v>0</v>
      </c>
    </row>
    <row r="237" spans="1:14" ht="21">
      <c r="A237" s="72"/>
      <c r="B237" s="73"/>
      <c r="C237" s="72"/>
      <c r="D237" s="1">
        <f>Ресурсы!G53</f>
        <v>1</v>
      </c>
      <c r="E237" s="69"/>
      <c r="F237" s="69"/>
      <c r="G237" s="17">
        <f>Ресурсы!F53</f>
        <v>127.02</v>
      </c>
      <c r="H237" s="17">
        <f>ROUND(IF(F236="",0,F236)*IF(G237="",0,G237),2)</f>
        <v>85.13</v>
      </c>
      <c r="K237" s="1" t="s">
        <v>40</v>
      </c>
      <c r="L237" s="1" t="s">
        <v>41</v>
      </c>
      <c r="M237" s="17">
        <f>Ресурсы!E53</f>
        <v>0</v>
      </c>
      <c r="N237" s="17">
        <f>ROUND(IF(F236="",0,F236)*IF(M237="",0,M237),2)</f>
        <v>0</v>
      </c>
    </row>
    <row r="238" spans="1:14" ht="31.5">
      <c r="A238" s="14" t="s">
        <v>161</v>
      </c>
      <c r="B238" s="18" t="str">
        <f>ПОЛУЧШИФР(Ресурсы!A58,0)</f>
        <v>х04-1401</v>
      </c>
      <c r="C238" s="14" t="str">
        <f>Ресурсы!B58</f>
        <v>Печи электрические для сушки сварочных материалов с регулированием температуры в пределах 80-500 гр. С при работе от передвижных электростанций</v>
      </c>
      <c r="D238" s="15" t="s">
        <v>37</v>
      </c>
      <c r="E238" s="1">
        <v>1.08</v>
      </c>
      <c r="F238" s="1">
        <f>ОКРУГЛВСЕ(IF(E238="",0,E238)*IF(F232="",0,F232),11)</f>
        <v>0.108</v>
      </c>
      <c r="G238" s="17">
        <f>Ресурсы!D58</f>
        <v>56.98</v>
      </c>
      <c r="H238" s="17">
        <f>ROUND(IF(F238="",0,F238)*IF(G238="",0,G238),2)</f>
        <v>6.15</v>
      </c>
      <c r="I238" s="1" t="s">
        <v>38</v>
      </c>
      <c r="J238" s="1" t="s">
        <v>39</v>
      </c>
      <c r="M238" s="17">
        <f>Ресурсы!C58</f>
        <v>0</v>
      </c>
      <c r="N238" s="17">
        <f>ROUND(IF(F238="",0,F238)*IF(M238="",0,M238),2)</f>
        <v>0</v>
      </c>
    </row>
    <row r="239" spans="1:14" ht="31.5">
      <c r="A239" s="14" t="s">
        <v>162</v>
      </c>
      <c r="B239" s="18" t="str">
        <f>ПОЛУЧШИФР(Ресурсы!A59,0)</f>
        <v>х04-2901</v>
      </c>
      <c r="C239" s="14" t="str">
        <f>Ресурсы!B59</f>
        <v>Установки для гидравлических испытаний трубопроводов, давление нагнетания, низкое 0,1 (1) МПа (кгс/см2), высокое 10 (100) МПа (кгс/см2) при работе от передвижных электростанций</v>
      </c>
      <c r="D239" s="15" t="s">
        <v>37</v>
      </c>
      <c r="E239" s="1">
        <v>7.2</v>
      </c>
      <c r="F239" s="1">
        <f>ОКРУГЛВСЕ(IF(E239="",0,E239)*IF(F232="",0,F232),11)</f>
        <v>0.72</v>
      </c>
      <c r="G239" s="17">
        <f>Ресурсы!D59</f>
        <v>108.13</v>
      </c>
      <c r="H239" s="17">
        <f>ROUND(IF(F239="",0,F239)*IF(G239="",0,G239),2)</f>
        <v>77.85</v>
      </c>
      <c r="I239" s="1" t="s">
        <v>38</v>
      </c>
      <c r="J239" s="1" t="s">
        <v>39</v>
      </c>
      <c r="M239" s="17">
        <f>Ресурсы!C59</f>
        <v>0</v>
      </c>
      <c r="N239" s="17">
        <f>ROUND(IF(F239="",0,F239)*IF(M239="",0,M239),2)</f>
        <v>0</v>
      </c>
    </row>
    <row r="240" spans="1:14" ht="10.5">
      <c r="A240" s="72" t="s">
        <v>163</v>
      </c>
      <c r="B240" s="73" t="str">
        <f>ПОЛУЧШИФР(Ресурсы!A61,0)</f>
        <v>х07-0117</v>
      </c>
      <c r="C240" s="72" t="str">
        <f>Ресурсы!B61</f>
        <v>Бульдозеры при работе на сооружении магистральных трубопроводов 96 (130) кВт (л.с.)</v>
      </c>
      <c r="D240" s="19" t="s">
        <v>37</v>
      </c>
      <c r="E240" s="69">
        <v>0.66</v>
      </c>
      <c r="F240" s="69">
        <f>ОКРУГЛВСЕ(IF(E240="",0,E240)*IF(F232="",0,F232),11)</f>
        <v>0.066</v>
      </c>
      <c r="G240" s="20">
        <f>Ресурсы!D61</f>
        <v>470.22</v>
      </c>
      <c r="H240" s="20">
        <f>ROUND(IF(F240="",0,F240)*IF(G240="",0,G240),2)</f>
        <v>31.03</v>
      </c>
      <c r="I240" s="1" t="s">
        <v>38</v>
      </c>
      <c r="J240" s="1" t="s">
        <v>39</v>
      </c>
      <c r="M240" s="20">
        <f>Ресурсы!C61</f>
        <v>0</v>
      </c>
      <c r="N240" s="20">
        <f>ROUND(IF(F240="",0,F240)*IF(M240="",0,M240),2)</f>
        <v>0</v>
      </c>
    </row>
    <row r="241" spans="1:14" ht="21">
      <c r="A241" s="72"/>
      <c r="B241" s="73"/>
      <c r="C241" s="72"/>
      <c r="D241" s="1">
        <f>Ресурсы!G61</f>
        <v>1</v>
      </c>
      <c r="E241" s="69"/>
      <c r="F241" s="69"/>
      <c r="G241" s="17">
        <f>Ресурсы!F61</f>
        <v>157.68</v>
      </c>
      <c r="H241" s="17">
        <f>ROUND(IF(F240="",0,F240)*IF(G241="",0,G241),2)</f>
        <v>10.41</v>
      </c>
      <c r="K241" s="1" t="s">
        <v>40</v>
      </c>
      <c r="L241" s="1" t="s">
        <v>41</v>
      </c>
      <c r="M241" s="17">
        <f>Ресурсы!E61</f>
        <v>0</v>
      </c>
      <c r="N241" s="17">
        <f>ROUND(IF(F240="",0,F240)*IF(M241="",0,M241),2)</f>
        <v>0</v>
      </c>
    </row>
    <row r="242" spans="1:14" ht="10.5">
      <c r="A242" s="72" t="s">
        <v>164</v>
      </c>
      <c r="B242" s="73" t="str">
        <f>ПОЛУЧШИФР(Ресурсы!A65,0)</f>
        <v>х15-0202</v>
      </c>
      <c r="C242" s="72" t="str">
        <f>Ресурсы!B65</f>
        <v>Агрегаты сварочные двухпостовые для ручной сварки на тракторе 79 кВт (108 л.с.)</v>
      </c>
      <c r="D242" s="19" t="s">
        <v>37</v>
      </c>
      <c r="E242" s="69">
        <v>16.56</v>
      </c>
      <c r="F242" s="69">
        <f>ОКРУГЛВСЕ(IF(E242="",0,E242)*IF(F232="",0,F232),11)</f>
        <v>1.656</v>
      </c>
      <c r="G242" s="20">
        <f>Ресурсы!D65</f>
        <v>493.64</v>
      </c>
      <c r="H242" s="20">
        <f>ROUND(IF(F242="",0,F242)*IF(G242="",0,G242),2)</f>
        <v>817.47</v>
      </c>
      <c r="I242" s="1" t="s">
        <v>38</v>
      </c>
      <c r="J242" s="1" t="s">
        <v>39</v>
      </c>
      <c r="M242" s="20">
        <f>Ресурсы!C65</f>
        <v>0</v>
      </c>
      <c r="N242" s="20">
        <f>ROUND(IF(F242="",0,F242)*IF(M242="",0,M242),2)</f>
        <v>0</v>
      </c>
    </row>
    <row r="243" spans="1:14" ht="21">
      <c r="A243" s="72"/>
      <c r="B243" s="73"/>
      <c r="C243" s="72"/>
      <c r="D243" s="1">
        <f>Ресурсы!G65</f>
        <v>1</v>
      </c>
      <c r="E243" s="69"/>
      <c r="F243" s="69"/>
      <c r="G243" s="17">
        <f>Ресурсы!F65</f>
        <v>147.82</v>
      </c>
      <c r="H243" s="17">
        <f>ROUND(IF(F242="",0,F242)*IF(G243="",0,G243),2)</f>
        <v>244.79</v>
      </c>
      <c r="K243" s="1" t="s">
        <v>40</v>
      </c>
      <c r="L243" s="1" t="s">
        <v>41</v>
      </c>
      <c r="M243" s="17">
        <f>Ресурсы!E65</f>
        <v>0</v>
      </c>
      <c r="N243" s="17">
        <f>ROUND(IF(F242="",0,F242)*IF(M243="",0,M243),2)</f>
        <v>0</v>
      </c>
    </row>
    <row r="244" spans="1:14" ht="10.5">
      <c r="A244" s="72" t="s">
        <v>165</v>
      </c>
      <c r="B244" s="73" t="str">
        <f>ПОЛУЧШИФР(Ресурсы!A66,0)</f>
        <v>х15-1700</v>
      </c>
      <c r="C244" s="72" t="str">
        <f>Ресурсы!B66</f>
        <v>Установки для подогрева стыков</v>
      </c>
      <c r="D244" s="19" t="s">
        <v>37</v>
      </c>
      <c r="E244" s="69">
        <v>0.834</v>
      </c>
      <c r="F244" s="69">
        <f>ОКРУГЛВСЕ(IF(E244="",0,E244)*IF(F232="",0,F232),11)</f>
        <v>0.0834</v>
      </c>
      <c r="G244" s="20">
        <f>Ресурсы!D66</f>
        <v>202.2</v>
      </c>
      <c r="H244" s="20">
        <f>ROUND(IF(F244="",0,F244)*IF(G244="",0,G244),2)</f>
        <v>16.86</v>
      </c>
      <c r="I244" s="1" t="s">
        <v>38</v>
      </c>
      <c r="J244" s="1" t="s">
        <v>39</v>
      </c>
      <c r="M244" s="20">
        <f>Ресурсы!C66</f>
        <v>0</v>
      </c>
      <c r="N244" s="20">
        <f>ROUND(IF(F244="",0,F244)*IF(M244="",0,M244),2)</f>
        <v>0</v>
      </c>
    </row>
    <row r="245" spans="1:14" ht="21">
      <c r="A245" s="72"/>
      <c r="B245" s="73"/>
      <c r="C245" s="72"/>
      <c r="D245" s="1">
        <f>Ресурсы!G66</f>
        <v>1</v>
      </c>
      <c r="E245" s="69"/>
      <c r="F245" s="69"/>
      <c r="G245" s="17">
        <f>Ресурсы!F66</f>
        <v>127.02</v>
      </c>
      <c r="H245" s="17">
        <f>ROUND(IF(F244="",0,F244)*IF(G245="",0,G245),2)</f>
        <v>10.59</v>
      </c>
      <c r="K245" s="1" t="s">
        <v>40</v>
      </c>
      <c r="L245" s="1" t="s">
        <v>41</v>
      </c>
      <c r="M245" s="17">
        <f>Ресурсы!E66</f>
        <v>0</v>
      </c>
      <c r="N245" s="17">
        <f>ROUND(IF(F244="",0,F244)*IF(M245="",0,M245),2)</f>
        <v>0</v>
      </c>
    </row>
    <row r="246" spans="1:14" ht="10.5">
      <c r="A246" s="14" t="s">
        <v>166</v>
      </c>
      <c r="B246" s="18" t="str">
        <f>ПОЛУЧШИФР(Ресурсы!A68,0)</f>
        <v>х33-0301</v>
      </c>
      <c r="C246" s="14" t="str">
        <f>Ресурсы!B68</f>
        <v>Машины шлифовальные электрические</v>
      </c>
      <c r="D246" s="15" t="s">
        <v>37</v>
      </c>
      <c r="E246" s="1">
        <v>9.9</v>
      </c>
      <c r="F246" s="1">
        <f>ОКРУГЛВСЕ(IF(E246="",0,E246)*IF(F232="",0,F232),11)</f>
        <v>0.99</v>
      </c>
      <c r="G246" s="17">
        <f>Ресурсы!D68</f>
        <v>14.52</v>
      </c>
      <c r="H246" s="17">
        <f>ROUND(IF(F246="",0,F246)*IF(G246="",0,G246),2)</f>
        <v>14.37</v>
      </c>
      <c r="I246" s="1" t="s">
        <v>38</v>
      </c>
      <c r="J246" s="1" t="s">
        <v>39</v>
      </c>
      <c r="M246" s="17">
        <f>Ресурсы!C68</f>
        <v>0</v>
      </c>
      <c r="N246" s="17">
        <f>ROUND(IF(F246="",0,F246)*IF(M246="",0,M246),2)</f>
        <v>0</v>
      </c>
    </row>
    <row r="247" spans="1:14" ht="10.5">
      <c r="A247" s="72" t="s">
        <v>167</v>
      </c>
      <c r="B247" s="73" t="str">
        <f>ПОЛУЧШИФР(Ресурсы!A69,0)</f>
        <v>х40-0001</v>
      </c>
      <c r="C247" s="72" t="str">
        <f>Ресурсы!B69</f>
        <v>Автомобили бортовые грузоподъемностью до 5 т</v>
      </c>
      <c r="D247" s="19" t="s">
        <v>37</v>
      </c>
      <c r="E247" s="69">
        <v>0.126</v>
      </c>
      <c r="F247" s="69">
        <f>ОКРУГЛВСЕ(IF(E247="",0,E247)*IF(F232="",0,F232),11)</f>
        <v>0.0126</v>
      </c>
      <c r="G247" s="20">
        <f>Ресурсы!D69</f>
        <v>410.49</v>
      </c>
      <c r="H247" s="20">
        <f>ROUND(IF(F247="",0,F247)*IF(G247="",0,G247),2)</f>
        <v>5.17</v>
      </c>
      <c r="I247" s="1" t="s">
        <v>38</v>
      </c>
      <c r="J247" s="1" t="s">
        <v>39</v>
      </c>
      <c r="M247" s="20">
        <f>Ресурсы!C69</f>
        <v>0</v>
      </c>
      <c r="N247" s="20">
        <f>ROUND(IF(F247="",0,F247)*IF(M247="",0,M247),2)</f>
        <v>0</v>
      </c>
    </row>
    <row r="248" spans="1:14" ht="21">
      <c r="A248" s="72"/>
      <c r="B248" s="73"/>
      <c r="C248" s="72"/>
      <c r="D248" s="1">
        <f>Ресурсы!G69</f>
        <v>1</v>
      </c>
      <c r="E248" s="69"/>
      <c r="F248" s="69"/>
      <c r="G248" s="17">
        <f>Ресурсы!F69</f>
        <v>0</v>
      </c>
      <c r="H248" s="17">
        <f>ROUND(IF(F247="",0,F247)*IF(G248="",0,G248),2)</f>
        <v>0</v>
      </c>
      <c r="K248" s="1" t="s">
        <v>40</v>
      </c>
      <c r="L248" s="1" t="s">
        <v>41</v>
      </c>
      <c r="M248" s="17">
        <f>Ресурсы!E69</f>
        <v>0</v>
      </c>
      <c r="N248" s="17">
        <f>ROUND(IF(F247="",0,F247)*IF(M248="",0,M248),2)</f>
        <v>0</v>
      </c>
    </row>
    <row r="249" spans="1:14" ht="10.5" hidden="1">
      <c r="A249" s="14" t="s">
        <v>167</v>
      </c>
      <c r="B249" s="18" t="str">
        <f>ПОЛУЧШИФР(Ресурсы!A15,0)</f>
        <v>с101-1513</v>
      </c>
      <c r="C249" s="14" t="str">
        <f>Ресурсы!B15</f>
        <v>Электроды диаметром 4 мм Э42</v>
      </c>
      <c r="D249" s="15" t="s">
        <v>110</v>
      </c>
      <c r="E249" s="1">
        <v>0</v>
      </c>
      <c r="F249" s="1">
        <f>ОКРУГЛВСЕ(IF(E249="",0,E249)*IF(F232="",0,F232),11)</f>
        <v>0</v>
      </c>
      <c r="G249" s="17">
        <f>ROUND(Ресурсы!D15*Начисления!AV14,2)</f>
        <v>49149.39</v>
      </c>
      <c r="H249" s="17">
        <f>ROUND(IF(F249="",0,F249)*IF(G249="",0,G249),2)</f>
        <v>0</v>
      </c>
      <c r="I249" s="1" t="s">
        <v>38</v>
      </c>
      <c r="J249" s="1" t="s">
        <v>86</v>
      </c>
      <c r="M249" s="17">
        <f>ROUND(Ресурсы!C15*Начисления!AV14,2)</f>
        <v>0</v>
      </c>
      <c r="N249" s="17">
        <f>ROUND(IF(F249="",0,F249)*IF(M249="",0,M249),2)</f>
        <v>0</v>
      </c>
    </row>
    <row r="250" spans="1:14" ht="10.5" hidden="1">
      <c r="A250" s="14" t="s">
        <v>167</v>
      </c>
      <c r="B250" s="14" t="s">
        <v>168</v>
      </c>
      <c r="C250" s="14" t="s">
        <v>169</v>
      </c>
      <c r="D250" s="15" t="s">
        <v>115</v>
      </c>
      <c r="E250" s="1">
        <v>0</v>
      </c>
      <c r="F250" s="1">
        <f>ОКРУГЛВСЕ(IF(E250="",0,E250)*IF(F232="",0,F232),11)</f>
        <v>0</v>
      </c>
      <c r="G250" s="17"/>
      <c r="H250" s="17">
        <f>ROUND(IF(F250="",0,F250)*IF(G250="",0,G250),2)</f>
        <v>0</v>
      </c>
      <c r="I250" s="1" t="s">
        <v>38</v>
      </c>
      <c r="J250" s="1" t="s">
        <v>86</v>
      </c>
      <c r="M250" s="17"/>
      <c r="N250" s="17">
        <f>ROUND(IF(F250="",0,F250)*IF(M250="",0,M250),2)</f>
        <v>0</v>
      </c>
    </row>
    <row r="251" spans="1:14" ht="21" hidden="1">
      <c r="A251" s="14" t="s">
        <v>167</v>
      </c>
      <c r="B251" s="18" t="str">
        <f>ПОЛУЧШИФР(Ресурсы!A20,0)</f>
        <v>с102-0025</v>
      </c>
      <c r="C251" s="14" t="str">
        <f>Ресурсы!B20</f>
        <v>Пиломатериалы хвойных пород. Бруски обрезные длиной 4-6.5 м, шириной 75-150 мм, толщиной 40-75 мм III сорта</v>
      </c>
      <c r="D251" s="15" t="s">
        <v>88</v>
      </c>
      <c r="E251" s="1">
        <v>0</v>
      </c>
      <c r="F251" s="1">
        <f>ОКРУГЛВСЕ(IF(E251="",0,E251)*IF(F232="",0,F232),11)</f>
        <v>0</v>
      </c>
      <c r="G251" s="17">
        <f>ROUND(Ресурсы!D20*Начисления!AV14,2)</f>
        <v>4695.17</v>
      </c>
      <c r="H251" s="17">
        <f>ROUND(IF(F251="",0,F251)*IF(G251="",0,G251),2)</f>
        <v>0</v>
      </c>
      <c r="I251" s="1" t="s">
        <v>38</v>
      </c>
      <c r="J251" s="1" t="s">
        <v>86</v>
      </c>
      <c r="M251" s="17">
        <f>ROUND(Ресурсы!C20*Начисления!AV14,2)</f>
        <v>0</v>
      </c>
      <c r="N251" s="17">
        <f>ROUND(IF(F251="",0,F251)*IF(M251="",0,M251),2)</f>
        <v>0</v>
      </c>
    </row>
    <row r="252" spans="1:14" ht="10.5" hidden="1">
      <c r="A252" s="14" t="s">
        <v>167</v>
      </c>
      <c r="B252" s="18" t="str">
        <f>ПОЛУЧШИФР(Ресурсы!A23,0)</f>
        <v>с103-9011</v>
      </c>
      <c r="C252" s="14" t="str">
        <f>Ресурсы!B23</f>
        <v>Трубы стальные</v>
      </c>
      <c r="D252" s="15" t="s">
        <v>90</v>
      </c>
      <c r="E252" s="1">
        <v>0</v>
      </c>
      <c r="F252" s="1">
        <f>ОКРУГЛВСЕ(IF(E252="",0,E252)*IF(F232="",0,F232),11)</f>
        <v>0</v>
      </c>
      <c r="G252" s="17">
        <f>ROUND(Ресурсы!D23*Начисления!AV14,2)</f>
        <v>215</v>
      </c>
      <c r="H252" s="17">
        <f>ROUND(IF(F252="",0,F252)*IF(G252="",0,G252),2)</f>
        <v>0</v>
      </c>
      <c r="I252" s="1" t="s">
        <v>38</v>
      </c>
      <c r="J252" s="1" t="s">
        <v>86</v>
      </c>
      <c r="M252" s="17">
        <f>ROUND(Ресурсы!C23*Начисления!AV14,2)</f>
        <v>0</v>
      </c>
      <c r="N252" s="17">
        <f>ROUND(IF(F252="",0,F252)*IF(M252="",0,M252),2)</f>
        <v>0</v>
      </c>
    </row>
    <row r="253" spans="1:14" ht="10.5" hidden="1">
      <c r="A253" s="14" t="s">
        <v>167</v>
      </c>
      <c r="B253" s="18" t="str">
        <f>ПОЛУЧШИФР(Ресурсы!A34,0)</f>
        <v>с411-0001</v>
      </c>
      <c r="C253" s="14" t="str">
        <f>Ресурсы!B34</f>
        <v>Вода</v>
      </c>
      <c r="D253" s="15" t="s">
        <v>88</v>
      </c>
      <c r="E253" s="1">
        <v>0</v>
      </c>
      <c r="F253" s="1">
        <f>ОКРУГЛВСЕ(IF(E253="",0,E253)*IF(F232="",0,F232),11)</f>
        <v>0</v>
      </c>
      <c r="G253" s="17">
        <f>ROUND(Ресурсы!D34*Начисления!AV14,2)</f>
        <v>11.63</v>
      </c>
      <c r="H253" s="17">
        <f>ROUND(IF(F253="",0,F253)*IF(G253="",0,G253),2)</f>
        <v>0</v>
      </c>
      <c r="I253" s="1" t="s">
        <v>38</v>
      </c>
      <c r="J253" s="1" t="s">
        <v>86</v>
      </c>
      <c r="M253" s="17">
        <f>ROUND(Ресурсы!C34*Начисления!AV14,2)</f>
        <v>0</v>
      </c>
      <c r="N253" s="17">
        <f>ROUND(IF(F253="",0,F253)*IF(M253="",0,M253),2)</f>
        <v>0</v>
      </c>
    </row>
    <row r="254" spans="3:8" ht="10.5" hidden="1">
      <c r="C254" s="21" t="s">
        <v>42</v>
      </c>
      <c r="H254" s="1">
        <v>2317.94</v>
      </c>
    </row>
    <row r="255" spans="3:8" ht="10.5" hidden="1">
      <c r="C255" s="21" t="s">
        <v>43</v>
      </c>
      <c r="H255" s="1">
        <v>1095.21</v>
      </c>
    </row>
    <row r="256" spans="3:8" ht="10.5" hidden="1">
      <c r="C256" s="21" t="s">
        <v>44</v>
      </c>
      <c r="H256" s="1">
        <v>350.92</v>
      </c>
    </row>
    <row r="257" ht="10.5" hidden="1">
      <c r="C257" s="21" t="s">
        <v>45</v>
      </c>
    </row>
    <row r="258" ht="10.5" hidden="1">
      <c r="C258" s="21" t="s">
        <v>46</v>
      </c>
    </row>
    <row r="259" spans="3:13" ht="21" hidden="1">
      <c r="C259" s="21" t="s">
        <v>47</v>
      </c>
      <c r="G259" s="22"/>
      <c r="I259" s="1" t="s">
        <v>48</v>
      </c>
      <c r="M259" s="22"/>
    </row>
    <row r="260" ht="10.5" hidden="1">
      <c r="C260" s="21" t="s">
        <v>49</v>
      </c>
    </row>
    <row r="261" ht="10.5" hidden="1">
      <c r="C261" s="21" t="s">
        <v>50</v>
      </c>
    </row>
    <row r="262" ht="10.5" hidden="1">
      <c r="C262" s="21" t="s">
        <v>51</v>
      </c>
    </row>
    <row r="263" spans="3:14" ht="10.5">
      <c r="C263" s="21" t="s">
        <v>52</v>
      </c>
      <c r="G263" s="1">
        <v>117</v>
      </c>
      <c r="H263" s="23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  <v>3122.57</v>
      </c>
      <c r="J263" s="14" t="s">
        <v>53</v>
      </c>
      <c r="N263" s="23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</row>
    <row r="264" spans="3:14" ht="10.5" hidden="1">
      <c r="C264" s="21" t="s">
        <v>54</v>
      </c>
      <c r="G264" s="1">
        <v>117</v>
      </c>
      <c r="H264" s="23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  <v>2711.99</v>
      </c>
      <c r="J264" s="14" t="s">
        <v>55</v>
      </c>
      <c r="N264" s="23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</c>
    </row>
    <row r="265" spans="3:14" ht="10.5" hidden="1">
      <c r="C265" s="21" t="s">
        <v>56</v>
      </c>
      <c r="G265" s="1">
        <v>117</v>
      </c>
      <c r="H265" s="23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  <v>410.58</v>
      </c>
      <c r="J265" s="14" t="s">
        <v>57</v>
      </c>
      <c r="N265" s="23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</row>
    <row r="266" spans="3:14" ht="10.5">
      <c r="C266" s="21" t="s">
        <v>58</v>
      </c>
      <c r="G266" s="1">
        <v>75.65</v>
      </c>
      <c r="H266" s="23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  <v>2018.99</v>
      </c>
      <c r="J266" s="14" t="s">
        <v>59</v>
      </c>
      <c r="N266" s="23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</row>
    <row r="267" spans="3:14" ht="10.5" hidden="1">
      <c r="C267" s="21" t="s">
        <v>60</v>
      </c>
      <c r="G267" s="1">
        <v>75.65</v>
      </c>
      <c r="H267" s="23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  <v>1753.52</v>
      </c>
      <c r="J267" s="14" t="s">
        <v>61</v>
      </c>
      <c r="N267" s="23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</c>
    </row>
    <row r="268" spans="3:14" ht="10.5" hidden="1">
      <c r="C268" s="21" t="s">
        <v>62</v>
      </c>
      <c r="G268" s="1">
        <v>75.65</v>
      </c>
      <c r="H268" s="23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  <v>265.47</v>
      </c>
      <c r="J268" s="14" t="s">
        <v>63</v>
      </c>
      <c r="N268" s="23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</row>
    <row r="269" spans="3:8" ht="10.5">
      <c r="C269" s="21" t="s">
        <v>64</v>
      </c>
      <c r="H269" s="23">
        <f>ROUND(IF(H232="",0,H232)+IF(H263="",0,H263)+IF(H266="",0,H266),2)</f>
        <v>8554.71</v>
      </c>
    </row>
    <row r="270" spans="1:14" ht="31.5">
      <c r="A270" s="24" t="s">
        <v>170</v>
      </c>
      <c r="B270" s="24" t="s">
        <v>171</v>
      </c>
      <c r="C270" s="24" t="s">
        <v>172</v>
      </c>
      <c r="D270" s="25" t="s">
        <v>173</v>
      </c>
      <c r="E270" s="26"/>
      <c r="F270" s="27">
        <v>0.16</v>
      </c>
      <c r="G270" s="28">
        <f>ROUND(СУММПРОИЗВЕСЛИ(1,I270:I287,"s",E270:E287,G270:G287,0),2)</f>
        <v>138240.59</v>
      </c>
      <c r="H270" s="28">
        <f>ROUND(СУММПРОИЗВЕСЛИ(F270,I270:I287,"s",E270:E287,G270:G287,0),2)</f>
        <v>22118.49</v>
      </c>
      <c r="I270" s="1" t="s">
        <v>30</v>
      </c>
      <c r="M270" s="13">
        <f>ROUND(СУММПРОИЗВЕСЛИ(1,I270:I287,"s",E270:E287,M270:M287,0),2)</f>
        <v>0</v>
      </c>
      <c r="N270" s="13">
        <f>ROUND(СУММПРОИЗВЕСЛИ(F270,I270:I287,"s",E270:E287,M270:M287,0),2)</f>
        <v>0</v>
      </c>
    </row>
    <row r="271" spans="1:14" ht="10.5">
      <c r="A271" s="14" t="s">
        <v>174</v>
      </c>
      <c r="B271" s="14" t="s">
        <v>32</v>
      </c>
      <c r="C271" s="14" t="s">
        <v>33</v>
      </c>
      <c r="D271" s="15" t="s">
        <v>34</v>
      </c>
      <c r="E271" s="1">
        <f>ОКРУГЛВСЕ(СУММПРОИЗВЕСЛИ(1,K270:K287,"mWithZTM",D270:D287,E270:E287,-1)+СУММКОЭФПРОЦЕНТЕСЛИ(1,1,K270:K287,"mWithZTM_Proch",E270:E287,-1),11)</f>
        <v>271.446</v>
      </c>
      <c r="F271" s="1">
        <f>ОКРУГЛВСЕ(СУММПРОИЗВЕСЛИ(1,K270:K287,"mWithZTM",D270:D287,F270:F287,-1)+СУММКОЭФПРОЦЕНТЕСЛИ(1,1,K270:K287,"mWithZTM_Proch",F270:F287,-1),11)</f>
        <v>43.43136</v>
      </c>
      <c r="G271" s="16">
        <f>IF(F271=0,0,ROUND(H271/F271,3))</f>
        <v>74.593</v>
      </c>
      <c r="H271" s="17">
        <f>ROUND(СУММЕСЛИДА1НЕ1(L270:L287,"mWithZPM",D270:D287,0,H270:H287),2)</f>
        <v>3239.66</v>
      </c>
      <c r="J271" s="1" t="s">
        <v>35</v>
      </c>
      <c r="M271" s="16">
        <f>IF(F271=0,0,ROUND(N271/F271,3))</f>
        <v>0</v>
      </c>
      <c r="N271" s="17">
        <f>ROUND(СУММЕСЛИДА1НЕ1(L270:L287,"mWithZPM",D270:D287,0,N270:N287),2)</f>
        <v>0</v>
      </c>
    </row>
    <row r="272" spans="1:14" ht="10.5">
      <c r="A272" s="14" t="s">
        <v>175</v>
      </c>
      <c r="B272" s="18" t="str">
        <f>ПОЛУЧШИФР(Ресурсы!A7,0)</f>
        <v>з000-1004-1</v>
      </c>
      <c r="C272" s="14" t="str">
        <f>Ресурсы!B7</f>
        <v>Рабочие-строители (средний разряд 4.1)</v>
      </c>
      <c r="D272" s="15" t="s">
        <v>34</v>
      </c>
      <c r="E272" s="1">
        <v>272.0095</v>
      </c>
      <c r="F272" s="1">
        <f>ОКРУГЛВСЕ(IF(E272="",0,E272)*IF(F270="",0,F270),11)</f>
        <v>43.52152</v>
      </c>
      <c r="G272" s="16">
        <f>Ресурсы!D7</f>
        <v>103.36</v>
      </c>
      <c r="H272" s="17">
        <f>ROUND(IF(F272="",0,F272)*IF(G272="",0,G272),2)</f>
        <v>4498.38</v>
      </c>
      <c r="I272" s="1" t="s">
        <v>38</v>
      </c>
      <c r="J272" s="1" t="s">
        <v>72</v>
      </c>
      <c r="M272" s="16">
        <f>Ресурсы!C7</f>
        <v>0</v>
      </c>
      <c r="N272" s="17">
        <f>ROUND(IF(F272="",0,F272)*IF(M272="",0,M272),2)</f>
        <v>0</v>
      </c>
    </row>
    <row r="273" spans="1:14" ht="10.5">
      <c r="A273" s="72" t="s">
        <v>176</v>
      </c>
      <c r="B273" s="73" t="str">
        <f>ПОЛУЧШИФР(Ресурсы!A51,0)</f>
        <v>х02-1141</v>
      </c>
      <c r="C273" s="72" t="str">
        <f>Ресурсы!B51</f>
        <v>Краны на автомобильном ходу при работе на других видах строительства 10 т</v>
      </c>
      <c r="D273" s="19" t="s">
        <v>37</v>
      </c>
      <c r="E273" s="69">
        <v>2.507</v>
      </c>
      <c r="F273" s="69">
        <f>ОКРУГЛВСЕ(IF(E273="",0,E273)*IF(F270="",0,F270),11)</f>
        <v>0.40112</v>
      </c>
      <c r="G273" s="20">
        <f>Ресурсы!D51</f>
        <v>413.13</v>
      </c>
      <c r="H273" s="20">
        <f>ROUND(IF(F273="",0,F273)*IF(G273="",0,G273),2)</f>
        <v>165.71</v>
      </c>
      <c r="I273" s="1" t="s">
        <v>38</v>
      </c>
      <c r="J273" s="1" t="s">
        <v>39</v>
      </c>
      <c r="M273" s="20">
        <f>Ресурсы!C51</f>
        <v>0</v>
      </c>
      <c r="N273" s="20">
        <f>ROUND(IF(F273="",0,F273)*IF(M273="",0,M273),2)</f>
        <v>0</v>
      </c>
    </row>
    <row r="274" spans="1:14" ht="21">
      <c r="A274" s="72"/>
      <c r="B274" s="73"/>
      <c r="C274" s="72"/>
      <c r="D274" s="1">
        <f>Ресурсы!G51</f>
        <v>1</v>
      </c>
      <c r="E274" s="69"/>
      <c r="F274" s="69"/>
      <c r="G274" s="17">
        <f>Ресурсы!F51</f>
        <v>147.82</v>
      </c>
      <c r="H274" s="17">
        <f>ROUND(IF(F273="",0,F273)*IF(G274="",0,G274),2)</f>
        <v>59.29</v>
      </c>
      <c r="K274" s="1" t="s">
        <v>40</v>
      </c>
      <c r="L274" s="1" t="s">
        <v>41</v>
      </c>
      <c r="M274" s="17">
        <f>Ресурсы!E51</f>
        <v>0</v>
      </c>
      <c r="N274" s="17">
        <f>ROUND(IF(F273="",0,F273)*IF(M274="",0,M274),2)</f>
        <v>0</v>
      </c>
    </row>
    <row r="275" spans="1:14" ht="10.5">
      <c r="A275" s="72" t="s">
        <v>177</v>
      </c>
      <c r="B275" s="73" t="str">
        <f>ПОЛУЧШИФР(Ресурсы!A52,0)</f>
        <v>х03-1851</v>
      </c>
      <c r="C275" s="72" t="str">
        <f>Ресурсы!B52</f>
        <v>Краны переносные 1 т</v>
      </c>
      <c r="D275" s="19" t="s">
        <v>37</v>
      </c>
      <c r="E275" s="69">
        <v>69.874</v>
      </c>
      <c r="F275" s="69">
        <f>ОКРУГЛВСЕ(IF(E275="",0,E275)*IF(F270="",0,F270),11)</f>
        <v>11.17984</v>
      </c>
      <c r="G275" s="20">
        <f>Ресурсы!D52</f>
        <v>108.52</v>
      </c>
      <c r="H275" s="20">
        <f>ROUND(IF(F275="",0,F275)*IF(G275="",0,G275),2)</f>
        <v>1213.24</v>
      </c>
      <c r="I275" s="1" t="s">
        <v>38</v>
      </c>
      <c r="J275" s="1" t="s">
        <v>39</v>
      </c>
      <c r="M275" s="20">
        <f>Ресурсы!C52</f>
        <v>0</v>
      </c>
      <c r="N275" s="20">
        <f>ROUND(IF(F275="",0,F275)*IF(M275="",0,M275),2)</f>
        <v>0</v>
      </c>
    </row>
    <row r="276" spans="1:14" ht="21">
      <c r="A276" s="72"/>
      <c r="B276" s="73"/>
      <c r="C276" s="72"/>
      <c r="D276" s="1">
        <f>Ресурсы!G52</f>
        <v>1</v>
      </c>
      <c r="E276" s="69"/>
      <c r="F276" s="69"/>
      <c r="G276" s="17">
        <f>Ресурсы!F52</f>
        <v>0</v>
      </c>
      <c r="H276" s="17">
        <f>ROUND(IF(F275="",0,F275)*IF(G276="",0,G276),2)</f>
        <v>0</v>
      </c>
      <c r="K276" s="1" t="s">
        <v>40</v>
      </c>
      <c r="L276" s="1" t="s">
        <v>41</v>
      </c>
      <c r="M276" s="17">
        <f>Ресурсы!E52</f>
        <v>0</v>
      </c>
      <c r="N276" s="17">
        <f>ROUND(IF(F275="",0,F275)*IF(M276="",0,M276),2)</f>
        <v>0</v>
      </c>
    </row>
    <row r="277" spans="1:14" ht="10.5">
      <c r="A277" s="72" t="s">
        <v>178</v>
      </c>
      <c r="B277" s="73" t="str">
        <f>ПОЛУЧШИФР(Ресурсы!A54,0)</f>
        <v>х04-0103</v>
      </c>
      <c r="C277" s="72" t="str">
        <f>Ресурсы!B54</f>
        <v>Электростанции передвижные 30 кВт</v>
      </c>
      <c r="D277" s="19" t="s">
        <v>37</v>
      </c>
      <c r="E277" s="69">
        <v>134.4695</v>
      </c>
      <c r="F277" s="69">
        <f>ОКРУГЛВСЕ(IF(E277="",0,E277)*IF(F270="",0,F270),11)</f>
        <v>21.51512</v>
      </c>
      <c r="G277" s="20">
        <f>Ресурсы!D54</f>
        <v>348.31</v>
      </c>
      <c r="H277" s="20">
        <f>ROUND(IF(F277="",0,F277)*IF(G277="",0,G277),2)</f>
        <v>7493.93</v>
      </c>
      <c r="I277" s="1" t="s">
        <v>38</v>
      </c>
      <c r="J277" s="1" t="s">
        <v>39</v>
      </c>
      <c r="M277" s="20">
        <f>Ресурсы!C54</f>
        <v>0</v>
      </c>
      <c r="N277" s="20">
        <f>ROUND(IF(F277="",0,F277)*IF(M277="",0,M277),2)</f>
        <v>0</v>
      </c>
    </row>
    <row r="278" spans="1:14" ht="21">
      <c r="A278" s="72"/>
      <c r="B278" s="73"/>
      <c r="C278" s="72"/>
      <c r="D278" s="1">
        <f>Ресурсы!G54</f>
        <v>1</v>
      </c>
      <c r="E278" s="69"/>
      <c r="F278" s="69"/>
      <c r="G278" s="17">
        <f>Ресурсы!F54</f>
        <v>147.82</v>
      </c>
      <c r="H278" s="17">
        <f>ROUND(IF(F277="",0,F277)*IF(G278="",0,G278),2)</f>
        <v>3180.37</v>
      </c>
      <c r="K278" s="1" t="s">
        <v>40</v>
      </c>
      <c r="L278" s="1" t="s">
        <v>41</v>
      </c>
      <c r="M278" s="17">
        <f>Ресурсы!E54</f>
        <v>0</v>
      </c>
      <c r="N278" s="17">
        <f>ROUND(IF(F277="",0,F277)*IF(M278="",0,M278),2)</f>
        <v>0</v>
      </c>
    </row>
    <row r="279" spans="1:14" ht="21">
      <c r="A279" s="14" t="s">
        <v>179</v>
      </c>
      <c r="B279" s="18" t="str">
        <f>ПОЛУЧШИФР(Ресурсы!A55,0)</f>
        <v>х04-0202</v>
      </c>
      <c r="C279" s="14" t="str">
        <f>Ресурсы!B55</f>
        <v>Агрегаты сварочные передвижные с номинальным сварочным током 250-400 А с дизельным двигателем</v>
      </c>
      <c r="D279" s="15" t="s">
        <v>37</v>
      </c>
      <c r="E279" s="1">
        <v>8.0845</v>
      </c>
      <c r="F279" s="1">
        <f>ОКРУГЛВСЕ(IF(E279="",0,E279)*IF(F270="",0,F270),11)</f>
        <v>1.29352</v>
      </c>
      <c r="G279" s="17">
        <f>Ресурсы!D55</f>
        <v>48.26</v>
      </c>
      <c r="H279" s="17">
        <f>ROUND(IF(F279="",0,F279)*IF(G279="",0,G279),2)</f>
        <v>62.43</v>
      </c>
      <c r="I279" s="1" t="s">
        <v>38</v>
      </c>
      <c r="J279" s="1" t="s">
        <v>39</v>
      </c>
      <c r="M279" s="17">
        <f>Ресурсы!C55</f>
        <v>0</v>
      </c>
      <c r="N279" s="17">
        <f>ROUND(IF(F279="",0,F279)*IF(M279="",0,M279),2)</f>
        <v>0</v>
      </c>
    </row>
    <row r="280" spans="1:14" ht="10.5">
      <c r="A280" s="14" t="s">
        <v>180</v>
      </c>
      <c r="B280" s="18" t="str">
        <f>ПОЛУЧШИФР(Ресурсы!A57,0)</f>
        <v>х04-0504</v>
      </c>
      <c r="C280" s="14" t="str">
        <f>Ресурсы!B57</f>
        <v>Аппараты для газовой сварки и резки</v>
      </c>
      <c r="D280" s="15" t="s">
        <v>37</v>
      </c>
      <c r="E280" s="1">
        <v>0.253</v>
      </c>
      <c r="F280" s="1">
        <f>ОКРУГЛВСЕ(IF(E280="",0,E280)*IF(F270="",0,F270),11)</f>
        <v>0.04048</v>
      </c>
      <c r="G280" s="17">
        <f>Ресурсы!D57</f>
        <v>3.17</v>
      </c>
      <c r="H280" s="17">
        <f>ROUND(IF(F280="",0,F280)*IF(G280="",0,G280),2)</f>
        <v>0.13</v>
      </c>
      <c r="I280" s="1" t="s">
        <v>38</v>
      </c>
      <c r="J280" s="1" t="s">
        <v>39</v>
      </c>
      <c r="M280" s="17">
        <f>Ресурсы!C57</f>
        <v>0</v>
      </c>
      <c r="N280" s="17">
        <f>ROUND(IF(F280="",0,F280)*IF(M280="",0,M280),2)</f>
        <v>0</v>
      </c>
    </row>
    <row r="281" spans="1:14" ht="10.5">
      <c r="A281" s="72" t="s">
        <v>181</v>
      </c>
      <c r="B281" s="73" t="str">
        <f>ПОЛУЧШИФР(Ресурсы!A67,0)</f>
        <v>х25-3511</v>
      </c>
      <c r="C281" s="72" t="str">
        <f>Ресурсы!B67</f>
        <v>Установки гидравлические для труб, длиной продавливания до 20 м (УПК-2,5) при работе от передвижных электростанций</v>
      </c>
      <c r="D281" s="19" t="s">
        <v>37</v>
      </c>
      <c r="E281" s="69">
        <v>64.5955</v>
      </c>
      <c r="F281" s="69">
        <f>ОКРУГЛВСЕ(IF(E281="",0,E281)*IF(F270="",0,F270),11)</f>
        <v>10.33528</v>
      </c>
      <c r="G281" s="20">
        <f>Ресурсы!D67</f>
        <v>650</v>
      </c>
      <c r="H281" s="20">
        <f>ROUND(IF(F281="",0,F281)*IF(G281="",0,G281),2)</f>
        <v>6717.93</v>
      </c>
      <c r="I281" s="1" t="s">
        <v>38</v>
      </c>
      <c r="J281" s="1" t="s">
        <v>39</v>
      </c>
      <c r="M281" s="20">
        <f>Ресурсы!C67</f>
        <v>0</v>
      </c>
      <c r="N281" s="20">
        <f>ROUND(IF(F281="",0,F281)*IF(M281="",0,M281),2)</f>
        <v>0</v>
      </c>
    </row>
    <row r="282" spans="1:14" ht="21">
      <c r="A282" s="72"/>
      <c r="B282" s="73"/>
      <c r="C282" s="72"/>
      <c r="D282" s="1">
        <f>Ресурсы!G67</f>
        <v>1</v>
      </c>
      <c r="E282" s="69"/>
      <c r="F282" s="69"/>
      <c r="G282" s="17">
        <f>Ресурсы!F67</f>
        <v>0</v>
      </c>
      <c r="H282" s="17">
        <f>ROUND(IF(F281="",0,F281)*IF(G282="",0,G282),2)</f>
        <v>0</v>
      </c>
      <c r="K282" s="1" t="s">
        <v>40</v>
      </c>
      <c r="L282" s="1" t="s">
        <v>41</v>
      </c>
      <c r="M282" s="17">
        <f>Ресурсы!E67</f>
        <v>0</v>
      </c>
      <c r="N282" s="17">
        <f>ROUND(IF(F281="",0,F281)*IF(M282="",0,M282),2)</f>
        <v>0</v>
      </c>
    </row>
    <row r="283" spans="1:14" ht="10.5">
      <c r="A283" s="14" t="s">
        <v>182</v>
      </c>
      <c r="B283" s="18" t="str">
        <f>ПОЛУЧШИФР(Ресурсы!A12,0)</f>
        <v>с101-0324</v>
      </c>
      <c r="C283" s="14" t="str">
        <f>Ресурсы!B12</f>
        <v>Кислород технический газообразный</v>
      </c>
      <c r="D283" s="15" t="s">
        <v>88</v>
      </c>
      <c r="E283" s="1">
        <v>0.2</v>
      </c>
      <c r="F283" s="1">
        <f>ОКРУГЛВСЕ(IF(E283="",0,E283)*IF(F270="",0,F270),11)</f>
        <v>0.032</v>
      </c>
      <c r="G283" s="17">
        <f>ROUND(Ресурсы!D12*Начисления!AV15,2)</f>
        <v>28.36</v>
      </c>
      <c r="H283" s="17">
        <f>ROUND(IF(F283="",0,F283)*IF(G283="",0,G283),2)</f>
        <v>0.91</v>
      </c>
      <c r="I283" s="1" t="s">
        <v>38</v>
      </c>
      <c r="J283" s="1" t="s">
        <v>86</v>
      </c>
      <c r="M283" s="17">
        <f>ROUND(Ресурсы!C12*Начисления!AV15,2)</f>
        <v>0</v>
      </c>
      <c r="N283" s="17">
        <f>ROUND(IF(F283="",0,F283)*IF(M283="",0,M283),2)</f>
        <v>0</v>
      </c>
    </row>
    <row r="284" spans="1:14" ht="10.5">
      <c r="A284" s="14" t="s">
        <v>183</v>
      </c>
      <c r="B284" s="18" t="str">
        <f>ПОЛУЧШИФР(Ресурсы!A15,0)</f>
        <v>с101-1513</v>
      </c>
      <c r="C284" s="14" t="str">
        <f>Ресурсы!B15</f>
        <v>Электроды диаметром 4 мм Э42</v>
      </c>
      <c r="D284" s="15" t="s">
        <v>110</v>
      </c>
      <c r="E284" s="1">
        <v>0.0038</v>
      </c>
      <c r="F284" s="1">
        <f>ОКРУГЛВСЕ(IF(E284="",0,E284)*IF(F270="",0,F270),11)</f>
        <v>0.000608</v>
      </c>
      <c r="G284" s="17">
        <f>ROUND(Ресурсы!D15*Начисления!AV15,2)</f>
        <v>49149.39</v>
      </c>
      <c r="H284" s="17">
        <f>ROUND(IF(F284="",0,F284)*IF(G284="",0,G284),2)</f>
        <v>29.88</v>
      </c>
      <c r="I284" s="1" t="s">
        <v>38</v>
      </c>
      <c r="J284" s="1" t="s">
        <v>86</v>
      </c>
      <c r="M284" s="17">
        <f>ROUND(Ресурсы!C15*Начисления!AV15,2)</f>
        <v>0</v>
      </c>
      <c r="N284" s="17">
        <f>ROUND(IF(F284="",0,F284)*IF(M284="",0,M284),2)</f>
        <v>0</v>
      </c>
    </row>
    <row r="285" spans="1:14" ht="10.5">
      <c r="A285" s="14" t="s">
        <v>184</v>
      </c>
      <c r="B285" s="18" t="str">
        <f>ПОЛУЧШИФР(Ресурсы!A17,0)</f>
        <v>с101-1602</v>
      </c>
      <c r="C285" s="14" t="str">
        <f>Ресурсы!B17</f>
        <v>Ацетилен газообразный технический</v>
      </c>
      <c r="D285" s="15" t="s">
        <v>88</v>
      </c>
      <c r="E285" s="1">
        <v>0.03</v>
      </c>
      <c r="F285" s="1">
        <f>ОКРУГЛВСЕ(IF(E285="",0,E285)*IF(F270="",0,F270),11)</f>
        <v>0.0048</v>
      </c>
      <c r="G285" s="17">
        <f>ROUND(Ресурсы!D17*Начисления!AV15,2)</f>
        <v>203.82</v>
      </c>
      <c r="H285" s="17">
        <f>ROUND(IF(F285="",0,F285)*IF(G285="",0,G285),2)</f>
        <v>0.98</v>
      </c>
      <c r="I285" s="1" t="s">
        <v>38</v>
      </c>
      <c r="J285" s="1" t="s">
        <v>86</v>
      </c>
      <c r="M285" s="17">
        <f>ROUND(Ресурсы!C17*Начисления!AV15,2)</f>
        <v>0</v>
      </c>
      <c r="N285" s="17">
        <f>ROUND(IF(F285="",0,F285)*IF(M285="",0,M285),2)</f>
        <v>0</v>
      </c>
    </row>
    <row r="286" spans="1:14" ht="10.5" hidden="1">
      <c r="A286" s="14" t="s">
        <v>184</v>
      </c>
      <c r="B286" s="18" t="str">
        <f>ПОЛУЧШИФР(Ресурсы!A22,0)</f>
        <v>с103-1009</v>
      </c>
      <c r="C286" s="14" t="str">
        <f>Ресурсы!B22</f>
        <v>Фасонные стальные сварные части диаметр до 800 мм</v>
      </c>
      <c r="D286" s="15" t="s">
        <v>110</v>
      </c>
      <c r="E286" s="1">
        <v>0</v>
      </c>
      <c r="F286" s="1">
        <f>ОКРУГЛВСЕ(IF(E286="",0,E286)*IF(F270="",0,F270),11)</f>
        <v>0</v>
      </c>
      <c r="G286" s="17">
        <f>ROUND(Ресурсы!D22*Начисления!AV15,2)</f>
        <v>80659.38</v>
      </c>
      <c r="H286" s="17">
        <f>ROUND(IF(F286="",0,F286)*IF(G286="",0,G286),2)</f>
        <v>0</v>
      </c>
      <c r="I286" s="1" t="s">
        <v>38</v>
      </c>
      <c r="J286" s="1" t="s">
        <v>86</v>
      </c>
      <c r="M286" s="17">
        <f>ROUND(Ресурсы!C22*Начисления!AV15,2)</f>
        <v>0</v>
      </c>
      <c r="N286" s="17">
        <f>ROUND(IF(F286="",0,F286)*IF(M286="",0,M286),2)</f>
        <v>0</v>
      </c>
    </row>
    <row r="287" spans="1:14" ht="10.5">
      <c r="A287" s="14" t="s">
        <v>185</v>
      </c>
      <c r="B287" s="18" t="str">
        <f>ПОЛУЧШИФР(Ресурсы!A23,0)</f>
        <v>с103-9011</v>
      </c>
      <c r="C287" s="14" t="str">
        <f>Ресурсы!B23</f>
        <v>Трубы стальные</v>
      </c>
      <c r="D287" s="15" t="s">
        <v>90</v>
      </c>
      <c r="E287" s="1">
        <v>100.4</v>
      </c>
      <c r="F287" s="1">
        <f>ОКРУГЛВСЕ(IF(E287="",0,E287)*IF(F270="",0,F270),11)</f>
        <v>16.064</v>
      </c>
      <c r="G287" s="17">
        <v>120.454</v>
      </c>
      <c r="H287" s="17">
        <f>ROUND(IF(F287="",0,F287)*IF(G287="",0,G287),2)</f>
        <v>1934.97</v>
      </c>
      <c r="I287" s="1" t="s">
        <v>38</v>
      </c>
      <c r="J287" s="1" t="s">
        <v>86</v>
      </c>
      <c r="M287" s="17">
        <f>ROUND(Ресурсы!C23*Начисления!AV15,2)</f>
        <v>0</v>
      </c>
      <c r="N287" s="17">
        <f>ROUND(IF(F287="",0,F287)*IF(M287="",0,M287),2)</f>
        <v>0</v>
      </c>
    </row>
    <row r="288" spans="3:8" ht="10.5" hidden="1">
      <c r="C288" s="21" t="s">
        <v>42</v>
      </c>
      <c r="H288" s="1">
        <v>4498.38</v>
      </c>
    </row>
    <row r="289" spans="3:8" ht="10.5" hidden="1">
      <c r="C289" s="21" t="s">
        <v>43</v>
      </c>
      <c r="H289" s="1">
        <v>15653.37</v>
      </c>
    </row>
    <row r="290" spans="3:8" ht="10.5" hidden="1">
      <c r="C290" s="21" t="s">
        <v>44</v>
      </c>
      <c r="H290" s="1">
        <v>3239.66</v>
      </c>
    </row>
    <row r="291" spans="3:8" ht="10.5" hidden="1">
      <c r="C291" s="21" t="s">
        <v>45</v>
      </c>
      <c r="H291" s="1">
        <v>3485.53</v>
      </c>
    </row>
    <row r="292" ht="10.5" hidden="1">
      <c r="C292" s="21" t="s">
        <v>46</v>
      </c>
    </row>
    <row r="293" spans="3:13" ht="21" hidden="1">
      <c r="C293" s="21" t="s">
        <v>47</v>
      </c>
      <c r="G293" s="22"/>
      <c r="I293" s="1" t="s">
        <v>48</v>
      </c>
      <c r="M293" s="22"/>
    </row>
    <row r="294" ht="10.5" hidden="1">
      <c r="C294" s="21" t="s">
        <v>49</v>
      </c>
    </row>
    <row r="295" ht="10.5" hidden="1">
      <c r="C295" s="21" t="s">
        <v>50</v>
      </c>
    </row>
    <row r="296" ht="10.5" hidden="1">
      <c r="C296" s="21" t="s">
        <v>51</v>
      </c>
    </row>
    <row r="297" spans="3:14" ht="10.5">
      <c r="C297" s="21" t="s">
        <v>52</v>
      </c>
      <c r="G297" s="1">
        <v>117</v>
      </c>
      <c r="H297" s="23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  <v>9053.51</v>
      </c>
      <c r="J297" s="14" t="s">
        <v>53</v>
      </c>
      <c r="N297" s="23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</row>
    <row r="298" spans="3:14" ht="10.5" hidden="1">
      <c r="C298" s="21" t="s">
        <v>54</v>
      </c>
      <c r="G298" s="1">
        <v>117</v>
      </c>
      <c r="H298" s="23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  <v>5263.11</v>
      </c>
      <c r="J298" s="14" t="s">
        <v>55</v>
      </c>
      <c r="N298" s="23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</c>
    </row>
    <row r="299" spans="3:14" ht="10.5" hidden="1">
      <c r="C299" s="21" t="s">
        <v>56</v>
      </c>
      <c r="G299" s="1">
        <v>117</v>
      </c>
      <c r="H299" s="23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  <v>3790.4</v>
      </c>
      <c r="J299" s="14" t="s">
        <v>57</v>
      </c>
      <c r="N299" s="23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</c>
    </row>
    <row r="300" spans="3:14" ht="10.5">
      <c r="C300" s="21" t="s">
        <v>58</v>
      </c>
      <c r="G300" s="1">
        <v>75.65</v>
      </c>
      <c r="H300" s="23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  <v>5853.83</v>
      </c>
      <c r="J300" s="14" t="s">
        <v>59</v>
      </c>
      <c r="N300" s="23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</row>
    <row r="301" spans="3:14" ht="10.5" hidden="1">
      <c r="C301" s="21" t="s">
        <v>60</v>
      </c>
      <c r="G301" s="1">
        <v>75.65</v>
      </c>
      <c r="H301" s="23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  <v>3403.03</v>
      </c>
      <c r="J301" s="14" t="s">
        <v>61</v>
      </c>
      <c r="N301" s="23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</c>
    </row>
    <row r="302" spans="3:14" ht="10.5" hidden="1">
      <c r="C302" s="21" t="s">
        <v>62</v>
      </c>
      <c r="G302" s="1">
        <v>75.65</v>
      </c>
      <c r="H302" s="23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  <v>2450.8</v>
      </c>
      <c r="J302" s="14" t="s">
        <v>63</v>
      </c>
      <c r="N302" s="23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</c>
    </row>
    <row r="303" spans="3:8" ht="10.5">
      <c r="C303" s="21" t="s">
        <v>64</v>
      </c>
      <c r="H303" s="23">
        <f>ROUND(IF(H270="",0,H270)+IF(H297="",0,H297)+IF(H300="",0,H300),2)</f>
        <v>37025.83</v>
      </c>
    </row>
    <row r="304" spans="1:14" ht="10.5">
      <c r="A304" s="24" t="s">
        <v>186</v>
      </c>
      <c r="B304" s="48" t="s">
        <v>641</v>
      </c>
      <c r="C304" s="48" t="s">
        <v>638</v>
      </c>
      <c r="D304" s="49" t="s">
        <v>637</v>
      </c>
      <c r="E304" s="26"/>
      <c r="F304" s="27">
        <v>72</v>
      </c>
      <c r="G304" s="28">
        <f>ROUND(СУММПРОИЗВЕСЛИ(1,I304:I306,"s",E304:E306,G304:G306,0),2)</f>
        <v>95.55</v>
      </c>
      <c r="H304" s="28">
        <f>ROUND(СУММПРОИЗВЕСЛИ(F304,I304:I306,"s",E304:E306,G304:G306,0),2)</f>
        <v>6879.6</v>
      </c>
      <c r="I304" s="1" t="s">
        <v>30</v>
      </c>
      <c r="M304" s="13">
        <f>ROUND(СУММПРОИЗВЕСЛИ(1,I304:I306,"s",E304:E306,M304:M306,0),2)</f>
        <v>0</v>
      </c>
      <c r="N304" s="13">
        <f>ROUND(СУММПРОИЗВЕСЛИ(F304,I304:I306,"s",E304:E306,M304:M306,0),2)</f>
        <v>0</v>
      </c>
    </row>
    <row r="305" spans="1:14" ht="10.5" hidden="1">
      <c r="A305" s="14" t="s">
        <v>188</v>
      </c>
      <c r="B305" s="14" t="s">
        <v>32</v>
      </c>
      <c r="C305" s="14" t="s">
        <v>33</v>
      </c>
      <c r="D305" s="15" t="s">
        <v>70</v>
      </c>
      <c r="E305" s="1">
        <v>0</v>
      </c>
      <c r="F305" s="1">
        <v>0</v>
      </c>
      <c r="G305" s="16">
        <f>IF(F305=0,0,ROUND(H305/F305,3))</f>
        <v>0</v>
      </c>
      <c r="H305" s="17"/>
      <c r="J305" s="1" t="s">
        <v>35</v>
      </c>
      <c r="M305" s="16">
        <f>IF(F305=0,0,ROUND(N305/F305,3))</f>
        <v>0</v>
      </c>
      <c r="N305" s="17"/>
    </row>
    <row r="306" spans="1:14" ht="10.5" hidden="1">
      <c r="A306" s="14" t="s">
        <v>189</v>
      </c>
      <c r="B306" s="18" t="str">
        <f>ПОЛУЧШИФР(Ресурсы!A40,1)</f>
        <v>С-1.</v>
      </c>
      <c r="C306" s="14">
        <f>Ресурсы!B40</f>
        <v>0</v>
      </c>
      <c r="D306" s="15"/>
      <c r="E306" s="1">
        <v>1</v>
      </c>
      <c r="F306" s="1">
        <f>ОКРУГЛВСЕ(IF(E306="",0,E306)*IF(F304="",0,F304),11)</f>
        <v>72</v>
      </c>
      <c r="G306" s="17">
        <f>ROUND(Ресурсы!D40*Начисления!AV16,2)</f>
        <v>95.55</v>
      </c>
      <c r="H306" s="17">
        <f>ROUND(IF(F306="",0,F306)*IF(G306="",0,G306),2)</f>
        <v>6879.6</v>
      </c>
      <c r="I306" s="1" t="s">
        <v>38</v>
      </c>
      <c r="J306" s="1" t="s">
        <v>86</v>
      </c>
      <c r="M306" s="17">
        <f>ROUND(Ресурсы!C40*Начисления!AV16,2)</f>
        <v>0</v>
      </c>
      <c r="N306" s="17">
        <f>ROUND(IF(F306="",0,F306)*IF(M306="",0,M306),2)</f>
        <v>0</v>
      </c>
    </row>
    <row r="307" ht="10.5" hidden="1">
      <c r="C307" s="21" t="s">
        <v>42</v>
      </c>
    </row>
    <row r="308" ht="10.5" hidden="1">
      <c r="C308" s="21" t="s">
        <v>43</v>
      </c>
    </row>
    <row r="309" ht="10.5" hidden="1">
      <c r="C309" s="21" t="s">
        <v>44</v>
      </c>
    </row>
    <row r="310" spans="3:8" ht="10.5" hidden="1">
      <c r="C310" s="21" t="s">
        <v>45</v>
      </c>
      <c r="H310" s="1">
        <v>6879.6</v>
      </c>
    </row>
    <row r="311" ht="10.5" hidden="1">
      <c r="C311" s="21" t="s">
        <v>46</v>
      </c>
    </row>
    <row r="312" spans="3:13" ht="21" hidden="1">
      <c r="C312" s="21" t="s">
        <v>47</v>
      </c>
      <c r="G312" s="22"/>
      <c r="I312" s="1" t="s">
        <v>48</v>
      </c>
      <c r="M312" s="22"/>
    </row>
    <row r="313" ht="10.5" hidden="1">
      <c r="C313" s="21" t="s">
        <v>49</v>
      </c>
    </row>
    <row r="314" ht="10.5" hidden="1">
      <c r="C314" s="21" t="s">
        <v>50</v>
      </c>
    </row>
    <row r="315" ht="10.5" hidden="1">
      <c r="C315" s="21" t="s">
        <v>51</v>
      </c>
    </row>
    <row r="316" spans="3:14" ht="10.5" hidden="1">
      <c r="C316" s="21" t="s">
        <v>52</v>
      </c>
      <c r="H316" s="23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J316" s="14" t="s">
        <v>53</v>
      </c>
      <c r="N316" s="23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</row>
    <row r="317" spans="3:14" ht="10.5" hidden="1">
      <c r="C317" s="21" t="s">
        <v>54</v>
      </c>
      <c r="H317" s="23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J317" s="14" t="s">
        <v>55</v>
      </c>
      <c r="N317" s="23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</row>
    <row r="318" spans="3:14" ht="10.5" hidden="1">
      <c r="C318" s="21" t="s">
        <v>56</v>
      </c>
      <c r="H318" s="23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J318" s="14" t="s">
        <v>57</v>
      </c>
      <c r="N318" s="23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</row>
    <row r="319" spans="3:14" ht="10.5" hidden="1">
      <c r="C319" s="21" t="s">
        <v>58</v>
      </c>
      <c r="H319" s="23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J319" s="14" t="s">
        <v>59</v>
      </c>
      <c r="N319" s="23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</row>
    <row r="320" spans="3:14" ht="10.5" hidden="1">
      <c r="C320" s="21" t="s">
        <v>60</v>
      </c>
      <c r="H320" s="23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J320" s="14" t="s">
        <v>61</v>
      </c>
      <c r="N320" s="23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</row>
    <row r="321" spans="3:14" ht="10.5" hidden="1">
      <c r="C321" s="21" t="s">
        <v>62</v>
      </c>
      <c r="H321" s="23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J321" s="14" t="s">
        <v>63</v>
      </c>
      <c r="N321" s="23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</row>
    <row r="322" spans="1:14" ht="10.5">
      <c r="A322" s="24" t="s">
        <v>190</v>
      </c>
      <c r="B322" s="24" t="s">
        <v>191</v>
      </c>
      <c r="C322" s="48" t="s">
        <v>642</v>
      </c>
      <c r="D322" s="49" t="s">
        <v>639</v>
      </c>
      <c r="E322" s="26"/>
      <c r="F322" s="27">
        <v>330</v>
      </c>
      <c r="G322" s="28">
        <f>ROUND(СУММПРОИЗВЕСЛИ(1,I322:I324,"s",E322:E324,G322:G324,0),2)</f>
        <v>65</v>
      </c>
      <c r="H322" s="28">
        <f>ROUND(СУММПРОИЗВЕСЛИ(F322,I322:I324,"s",E322:E324,G322:G324,0),2)</f>
        <v>21450</v>
      </c>
      <c r="I322" s="1" t="s">
        <v>30</v>
      </c>
      <c r="M322" s="13">
        <f>ROUND(СУММПРОИЗВЕСЛИ(1,I322:I324,"s",E322:E324,M322:M324,0),2)</f>
        <v>0</v>
      </c>
      <c r="N322" s="13">
        <f>ROUND(СУММПРОИЗВЕСЛИ(F322,I322:I324,"s",E322:E324,M322:M324,0),2)</f>
        <v>0</v>
      </c>
    </row>
    <row r="323" spans="1:14" ht="10.5" hidden="1">
      <c r="A323" s="14" t="s">
        <v>192</v>
      </c>
      <c r="B323" s="14" t="s">
        <v>32</v>
      </c>
      <c r="C323" s="14" t="s">
        <v>33</v>
      </c>
      <c r="D323" s="15" t="s">
        <v>70</v>
      </c>
      <c r="E323" s="1">
        <v>0</v>
      </c>
      <c r="F323" s="1">
        <v>0</v>
      </c>
      <c r="G323" s="16">
        <f>IF(F323=0,0,ROUND(H323/F323,3))</f>
        <v>0</v>
      </c>
      <c r="H323" s="17"/>
      <c r="J323" s="1" t="s">
        <v>35</v>
      </c>
      <c r="M323" s="16">
        <f>IF(F323=0,0,ROUND(N323/F323,3))</f>
        <v>0</v>
      </c>
      <c r="N323" s="17"/>
    </row>
    <row r="324" spans="1:14" ht="10.5" hidden="1">
      <c r="A324" s="14" t="s">
        <v>193</v>
      </c>
      <c r="B324" s="18" t="str">
        <f>ПОЛУЧШИФР(Ресурсы!A42,1)</f>
        <v>С-2.</v>
      </c>
      <c r="C324" s="14">
        <f>Ресурсы!B42</f>
        <v>0</v>
      </c>
      <c r="D324" s="15"/>
      <c r="E324" s="1">
        <v>1</v>
      </c>
      <c r="F324" s="1">
        <f>ОКРУГЛВСЕ(IF(E324="",0,E324)*IF(F322="",0,F322),11)</f>
        <v>330</v>
      </c>
      <c r="G324" s="17">
        <f>ROUND(Ресурсы!D42*Начисления!AV17,2)</f>
        <v>65</v>
      </c>
      <c r="H324" s="17">
        <f>ROUND(IF(F324="",0,F324)*IF(G324="",0,G324),2)</f>
        <v>21450</v>
      </c>
      <c r="I324" s="1" t="s">
        <v>38</v>
      </c>
      <c r="J324" s="1" t="s">
        <v>86</v>
      </c>
      <c r="M324" s="17">
        <f>ROUND(Ресурсы!C42*Начисления!AV17,2)</f>
        <v>0</v>
      </c>
      <c r="N324" s="17">
        <f>ROUND(IF(F324="",0,F324)*IF(M324="",0,M324),2)</f>
        <v>0</v>
      </c>
    </row>
    <row r="325" ht="10.5" hidden="1">
      <c r="C325" s="21" t="s">
        <v>42</v>
      </c>
    </row>
    <row r="326" ht="10.5" hidden="1">
      <c r="C326" s="21" t="s">
        <v>43</v>
      </c>
    </row>
    <row r="327" ht="10.5" hidden="1">
      <c r="C327" s="21" t="s">
        <v>44</v>
      </c>
    </row>
    <row r="328" spans="3:8" ht="10.5" hidden="1">
      <c r="C328" s="21" t="s">
        <v>45</v>
      </c>
      <c r="H328" s="1">
        <v>21450</v>
      </c>
    </row>
    <row r="329" ht="10.5" hidden="1">
      <c r="C329" s="21" t="s">
        <v>46</v>
      </c>
    </row>
    <row r="330" spans="3:13" ht="21" hidden="1">
      <c r="C330" s="21" t="s">
        <v>47</v>
      </c>
      <c r="G330" s="22"/>
      <c r="I330" s="1" t="s">
        <v>48</v>
      </c>
      <c r="M330" s="22"/>
    </row>
    <row r="331" ht="10.5" hidden="1">
      <c r="C331" s="21" t="s">
        <v>49</v>
      </c>
    </row>
    <row r="332" ht="10.5" hidden="1">
      <c r="C332" s="21" t="s">
        <v>50</v>
      </c>
    </row>
    <row r="333" ht="10.5" hidden="1">
      <c r="C333" s="21" t="s">
        <v>51</v>
      </c>
    </row>
    <row r="334" spans="3:14" ht="10.5" hidden="1">
      <c r="C334" s="21" t="s">
        <v>52</v>
      </c>
      <c r="H334" s="23">
        <f>IF('Текущие цены с учетом расхода'!N17&gt;0,'Текущие цены с учетом расхода'!N17,IF('Текущие цены с учетом расхода'!N17&lt;0,'Текущие цены с учетом расхода'!N17,""))</f>
      </c>
      <c r="J334" s="14" t="s">
        <v>53</v>
      </c>
      <c r="N334" s="23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</row>
    <row r="335" spans="3:14" ht="10.5" hidden="1">
      <c r="C335" s="21" t="s">
        <v>54</v>
      </c>
      <c r="H335" s="23">
        <f>IF('Текущие цены с учетом расхода'!P17&gt;0,'Текущие цены с учетом расхода'!P17,IF('Текущие цены с учетом расхода'!P17&lt;0,'Текущие цены с учетом расхода'!P17,""))</f>
      </c>
      <c r="J335" s="14" t="s">
        <v>55</v>
      </c>
      <c r="N335" s="23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</row>
    <row r="336" spans="3:14" ht="10.5" hidden="1">
      <c r="C336" s="21" t="s">
        <v>56</v>
      </c>
      <c r="H336" s="23">
        <f>IF('Текущие цены с учетом расхода'!Q17&gt;0,'Текущие цены с учетом расхода'!Q17,IF('Текущие цены с учетом расхода'!Q17&lt;0,'Текущие цены с учетом расхода'!Q17,""))</f>
      </c>
      <c r="J336" s="14" t="s">
        <v>57</v>
      </c>
      <c r="N336" s="23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</row>
    <row r="337" spans="3:14" ht="10.5" hidden="1">
      <c r="C337" s="21" t="s">
        <v>58</v>
      </c>
      <c r="H337" s="23">
        <f>IF('Текущие цены с учетом расхода'!O17&gt;0,'Текущие цены с учетом расхода'!O17,IF('Текущие цены с учетом расхода'!O17&lt;0,'Текущие цены с учетом расхода'!O17,""))</f>
      </c>
      <c r="J337" s="14" t="s">
        <v>59</v>
      </c>
      <c r="N337" s="23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</row>
    <row r="338" spans="3:14" ht="10.5" hidden="1">
      <c r="C338" s="21" t="s">
        <v>60</v>
      </c>
      <c r="H338" s="23">
        <f>IF('Текущие цены с учетом расхода'!R17&gt;0,'Текущие цены с учетом расхода'!R17,IF('Текущие цены с учетом расхода'!R17&lt;0,'Текущие цены с учетом расхода'!R17,""))</f>
      </c>
      <c r="J338" s="14" t="s">
        <v>61</v>
      </c>
      <c r="N338" s="23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</row>
    <row r="339" spans="3:14" ht="10.5" hidden="1">
      <c r="C339" s="21" t="s">
        <v>62</v>
      </c>
      <c r="H339" s="23">
        <f>IF('Текущие цены с учетом расхода'!S17&gt;0,'Текущие цены с учетом расхода'!S17,IF('Текущие цены с учетом расхода'!S17&lt;0,'Текущие цены с учетом расхода'!S17,""))</f>
      </c>
      <c r="J339" s="14" t="s">
        <v>63</v>
      </c>
      <c r="N339" s="23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</row>
    <row r="340" spans="1:14" ht="10.5">
      <c r="A340" s="24" t="s">
        <v>194</v>
      </c>
      <c r="B340" s="24" t="s">
        <v>195</v>
      </c>
      <c r="C340" s="48" t="s">
        <v>643</v>
      </c>
      <c r="D340" s="49" t="s">
        <v>637</v>
      </c>
      <c r="E340" s="26"/>
      <c r="F340" s="27">
        <v>0.8</v>
      </c>
      <c r="G340" s="28">
        <f>ROUND(СУММПРОИЗВЕСЛИ(1,I340:I342,"s",E340:E342,G340:G342,0),2)</f>
        <v>8852.5</v>
      </c>
      <c r="H340" s="28">
        <f>ROUND(СУММПРОИЗВЕСЛИ(F340,I340:I342,"s",E340:E342,G340:G342,0),2)</f>
        <v>7082</v>
      </c>
      <c r="I340" s="1" t="s">
        <v>30</v>
      </c>
      <c r="M340" s="13">
        <f>ROUND(СУММПРОИЗВЕСЛИ(1,I340:I342,"s",E340:E342,M340:M342,0),2)</f>
        <v>0</v>
      </c>
      <c r="N340" s="13">
        <f>ROUND(СУММПРОИЗВЕСЛИ(F340,I340:I342,"s",E340:E342,M340:M342,0),2)</f>
        <v>0</v>
      </c>
    </row>
    <row r="341" spans="1:14" ht="10.5" hidden="1">
      <c r="A341" s="14" t="s">
        <v>196</v>
      </c>
      <c r="B341" s="14" t="s">
        <v>32</v>
      </c>
      <c r="C341" s="14" t="s">
        <v>33</v>
      </c>
      <c r="D341" s="15" t="s">
        <v>70</v>
      </c>
      <c r="E341" s="1">
        <v>0</v>
      </c>
      <c r="F341" s="1">
        <v>0</v>
      </c>
      <c r="G341" s="16">
        <f>IF(F341=0,0,ROUND(H341/F341,3))</f>
        <v>0</v>
      </c>
      <c r="H341" s="17"/>
      <c r="J341" s="1" t="s">
        <v>35</v>
      </c>
      <c r="M341" s="16">
        <f>IF(F341=0,0,ROUND(N341/F341,3))</f>
        <v>0</v>
      </c>
      <c r="N341" s="17"/>
    </row>
    <row r="342" spans="1:14" ht="10.5" hidden="1">
      <c r="A342" s="14" t="s">
        <v>197</v>
      </c>
      <c r="B342" s="18" t="str">
        <f>ПОЛУЧШИФР(Ресурсы!A43,1)</f>
        <v>С-3.</v>
      </c>
      <c r="C342" s="14">
        <f>Ресурсы!B43</f>
        <v>0</v>
      </c>
      <c r="D342" s="15"/>
      <c r="E342" s="1">
        <v>1</v>
      </c>
      <c r="F342" s="1">
        <f>ОКРУГЛВСЕ(IF(E342="",0,E342)*IF(F340="",0,F340),11)</f>
        <v>0.8</v>
      </c>
      <c r="G342" s="17">
        <f>ROUND(Ресурсы!D43*Начисления!AV18,2)</f>
        <v>8852.5</v>
      </c>
      <c r="H342" s="17">
        <f>ROUND(IF(F342="",0,F342)*IF(G342="",0,G342),2)</f>
        <v>7082</v>
      </c>
      <c r="I342" s="1" t="s">
        <v>38</v>
      </c>
      <c r="J342" s="1" t="s">
        <v>86</v>
      </c>
      <c r="M342" s="17">
        <f>ROUND(Ресурсы!C43*Начисления!AV18,2)</f>
        <v>0</v>
      </c>
      <c r="N342" s="17">
        <f>ROUND(IF(F342="",0,F342)*IF(M342="",0,M342),2)</f>
        <v>0</v>
      </c>
    </row>
    <row r="343" ht="10.5" hidden="1">
      <c r="C343" s="21" t="s">
        <v>42</v>
      </c>
    </row>
    <row r="344" ht="10.5" hidden="1">
      <c r="C344" s="21" t="s">
        <v>43</v>
      </c>
    </row>
    <row r="345" ht="10.5" hidden="1">
      <c r="C345" s="21" t="s">
        <v>44</v>
      </c>
    </row>
    <row r="346" spans="3:8" ht="10.5" hidden="1">
      <c r="C346" s="21" t="s">
        <v>45</v>
      </c>
      <c r="H346" s="1">
        <v>7082</v>
      </c>
    </row>
    <row r="347" ht="10.5" hidden="1">
      <c r="C347" s="21" t="s">
        <v>46</v>
      </c>
    </row>
    <row r="348" spans="3:13" ht="21" hidden="1">
      <c r="C348" s="21" t="s">
        <v>47</v>
      </c>
      <c r="G348" s="22"/>
      <c r="I348" s="1" t="s">
        <v>48</v>
      </c>
      <c r="M348" s="22"/>
    </row>
    <row r="349" ht="10.5" hidden="1">
      <c r="C349" s="21" t="s">
        <v>49</v>
      </c>
    </row>
    <row r="350" ht="10.5" hidden="1">
      <c r="C350" s="21" t="s">
        <v>50</v>
      </c>
    </row>
    <row r="351" ht="10.5" hidden="1">
      <c r="C351" s="21" t="s">
        <v>51</v>
      </c>
    </row>
    <row r="352" spans="3:14" ht="10.5" hidden="1">
      <c r="C352" s="21" t="s">
        <v>52</v>
      </c>
      <c r="H352" s="23">
        <f>IF('Текущие цены с учетом расхода'!N18&gt;0,'Текущие цены с учетом расхода'!N18,IF('Текущие цены с учетом расхода'!N18&lt;0,'Текущие цены с учетом расхода'!N18,""))</f>
      </c>
      <c r="J352" s="14" t="s">
        <v>53</v>
      </c>
      <c r="N352" s="23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</row>
    <row r="353" spans="3:14" ht="10.5" hidden="1">
      <c r="C353" s="21" t="s">
        <v>54</v>
      </c>
      <c r="H353" s="23">
        <f>IF('Текущие цены с учетом расхода'!P18&gt;0,'Текущие цены с учетом расхода'!P18,IF('Текущие цены с учетом расхода'!P18&lt;0,'Текущие цены с учетом расхода'!P18,""))</f>
      </c>
      <c r="J353" s="14" t="s">
        <v>55</v>
      </c>
      <c r="N353" s="23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</c>
    </row>
    <row r="354" spans="3:14" ht="10.5" hidden="1">
      <c r="C354" s="21" t="s">
        <v>56</v>
      </c>
      <c r="H354" s="23">
        <f>IF('Текущие цены с учетом расхода'!Q18&gt;0,'Текущие цены с учетом расхода'!Q18,IF('Текущие цены с учетом расхода'!Q18&lt;0,'Текущие цены с учетом расхода'!Q18,""))</f>
      </c>
      <c r="J354" s="14" t="s">
        <v>57</v>
      </c>
      <c r="N354" s="23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</row>
    <row r="355" spans="3:14" ht="10.5" hidden="1">
      <c r="C355" s="21" t="s">
        <v>58</v>
      </c>
      <c r="H355" s="23">
        <f>IF('Текущие цены с учетом расхода'!O18&gt;0,'Текущие цены с учетом расхода'!O18,IF('Текущие цены с учетом расхода'!O18&lt;0,'Текущие цены с учетом расхода'!O18,""))</f>
      </c>
      <c r="J355" s="14" t="s">
        <v>59</v>
      </c>
      <c r="N355" s="23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</row>
    <row r="356" spans="3:14" ht="10.5" hidden="1">
      <c r="C356" s="21" t="s">
        <v>60</v>
      </c>
      <c r="H356" s="23">
        <f>IF('Текущие цены с учетом расхода'!R18&gt;0,'Текущие цены с учетом расхода'!R18,IF('Текущие цены с учетом расхода'!R18&lt;0,'Текущие цены с учетом расхода'!R18,""))</f>
      </c>
      <c r="J356" s="14" t="s">
        <v>61</v>
      </c>
      <c r="N356" s="23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</c>
    </row>
    <row r="357" spans="3:14" ht="10.5" hidden="1">
      <c r="C357" s="21" t="s">
        <v>62</v>
      </c>
      <c r="H357" s="23">
        <f>IF('Текущие цены с учетом расхода'!S18&gt;0,'Текущие цены с учетом расхода'!S18,IF('Текущие цены с учетом расхода'!S18&lt;0,'Текущие цены с учетом расхода'!S18,""))</f>
      </c>
      <c r="J357" s="14" t="s">
        <v>63</v>
      </c>
      <c r="N357" s="23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</row>
    <row r="358" spans="1:14" ht="10.5">
      <c r="A358" s="24" t="s">
        <v>198</v>
      </c>
      <c r="B358" s="24" t="s">
        <v>199</v>
      </c>
      <c r="C358" s="48" t="s">
        <v>644</v>
      </c>
      <c r="D358" s="49" t="s">
        <v>640</v>
      </c>
      <c r="E358" s="26"/>
      <c r="F358" s="27">
        <v>2</v>
      </c>
      <c r="G358" s="28">
        <f>ROUND(СУММПРОИЗВЕСЛИ(1,I358:I360,"s",E358:E360,G358:G360,0),2)</f>
        <v>270</v>
      </c>
      <c r="H358" s="28">
        <f>ROUND(СУММПРОИЗВЕСЛИ(F358,I358:I360,"s",E358:E360,G358:G360,0),2)</f>
        <v>540</v>
      </c>
      <c r="I358" s="1" t="s">
        <v>30</v>
      </c>
      <c r="M358" s="13">
        <f>ROUND(СУММПРОИЗВЕСЛИ(1,I358:I360,"s",E358:E360,M358:M360,0),2)</f>
        <v>0</v>
      </c>
      <c r="N358" s="13">
        <f>ROUND(СУММПРОИЗВЕСЛИ(F358,I358:I360,"s",E358:E360,M358:M360,0),2)</f>
        <v>0</v>
      </c>
    </row>
    <row r="359" spans="1:14" ht="10.5" hidden="1">
      <c r="A359" s="14" t="s">
        <v>200</v>
      </c>
      <c r="B359" s="14" t="s">
        <v>32</v>
      </c>
      <c r="C359" s="14" t="s">
        <v>33</v>
      </c>
      <c r="D359" s="49" t="s">
        <v>640</v>
      </c>
      <c r="E359" s="1">
        <v>0</v>
      </c>
      <c r="F359" s="1">
        <v>0</v>
      </c>
      <c r="G359" s="16">
        <f>IF(F359=0,0,ROUND(H359/F359,3))</f>
        <v>0</v>
      </c>
      <c r="H359" s="17"/>
      <c r="J359" s="1" t="s">
        <v>35</v>
      </c>
      <c r="M359" s="16">
        <f>IF(F359=0,0,ROUND(N359/F359,3))</f>
        <v>0</v>
      </c>
      <c r="N359" s="17"/>
    </row>
    <row r="360" spans="1:14" ht="10.5" hidden="1">
      <c r="A360" s="14" t="s">
        <v>201</v>
      </c>
      <c r="B360" s="18" t="str">
        <f>ПОЛУЧШИФР(Ресурсы!A44,1)</f>
        <v>С-4.</v>
      </c>
      <c r="C360" s="14">
        <f>Ресурсы!B44</f>
        <v>0</v>
      </c>
      <c r="D360" s="49" t="s">
        <v>640</v>
      </c>
      <c r="E360" s="1">
        <v>1</v>
      </c>
      <c r="F360" s="1">
        <f>ОКРУГЛВСЕ(IF(E360="",0,E360)*IF(F358="",0,F358),11)</f>
        <v>2</v>
      </c>
      <c r="G360" s="17">
        <f>ROUND(Ресурсы!D44*Начисления!AV19,2)</f>
        <v>270</v>
      </c>
      <c r="H360" s="17">
        <f>ROUND(IF(F360="",0,F360)*IF(G360="",0,G360),2)</f>
        <v>540</v>
      </c>
      <c r="I360" s="1" t="s">
        <v>38</v>
      </c>
      <c r="J360" s="1" t="s">
        <v>86</v>
      </c>
      <c r="M360" s="17">
        <f>ROUND(Ресурсы!C44*Начисления!AV19,2)</f>
        <v>0</v>
      </c>
      <c r="N360" s="17">
        <f>ROUND(IF(F360="",0,F360)*IF(M360="",0,M360),2)</f>
        <v>0</v>
      </c>
    </row>
    <row r="361" spans="3:4" ht="10.5" hidden="1">
      <c r="C361" s="21" t="s">
        <v>42</v>
      </c>
      <c r="D361" s="49" t="s">
        <v>640</v>
      </c>
    </row>
    <row r="362" spans="3:4" ht="10.5" hidden="1">
      <c r="C362" s="21" t="s">
        <v>43</v>
      </c>
      <c r="D362" s="49" t="s">
        <v>640</v>
      </c>
    </row>
    <row r="363" spans="3:4" ht="10.5" hidden="1">
      <c r="C363" s="21" t="s">
        <v>44</v>
      </c>
      <c r="D363" s="49" t="s">
        <v>640</v>
      </c>
    </row>
    <row r="364" spans="3:8" ht="10.5" hidden="1">
      <c r="C364" s="21" t="s">
        <v>45</v>
      </c>
      <c r="D364" s="49" t="s">
        <v>640</v>
      </c>
      <c r="H364" s="1">
        <v>540</v>
      </c>
    </row>
    <row r="365" spans="3:4" ht="10.5" hidden="1">
      <c r="C365" s="21" t="s">
        <v>46</v>
      </c>
      <c r="D365" s="49" t="s">
        <v>640</v>
      </c>
    </row>
    <row r="366" spans="3:13" ht="21" hidden="1">
      <c r="C366" s="21" t="s">
        <v>47</v>
      </c>
      <c r="D366" s="49" t="s">
        <v>640</v>
      </c>
      <c r="G366" s="22"/>
      <c r="I366" s="1" t="s">
        <v>48</v>
      </c>
      <c r="M366" s="22"/>
    </row>
    <row r="367" spans="3:4" ht="10.5" hidden="1">
      <c r="C367" s="21" t="s">
        <v>49</v>
      </c>
      <c r="D367" s="49" t="s">
        <v>640</v>
      </c>
    </row>
    <row r="368" spans="3:4" ht="10.5" hidden="1">
      <c r="C368" s="21" t="s">
        <v>50</v>
      </c>
      <c r="D368" s="49" t="s">
        <v>640</v>
      </c>
    </row>
    <row r="369" spans="3:4" ht="10.5" hidden="1">
      <c r="C369" s="21" t="s">
        <v>51</v>
      </c>
      <c r="D369" s="49" t="s">
        <v>640</v>
      </c>
    </row>
    <row r="370" spans="3:14" ht="10.5" hidden="1">
      <c r="C370" s="21" t="s">
        <v>52</v>
      </c>
      <c r="D370" s="49" t="s">
        <v>640</v>
      </c>
      <c r="H370" s="23">
        <f>IF('Текущие цены с учетом расхода'!N19&gt;0,'Текущие цены с учетом расхода'!N19,IF('Текущие цены с учетом расхода'!N19&lt;0,'Текущие цены с учетом расхода'!N19,""))</f>
      </c>
      <c r="J370" s="14" t="s">
        <v>53</v>
      </c>
      <c r="N370" s="23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</row>
    <row r="371" spans="3:14" ht="10.5" hidden="1">
      <c r="C371" s="21" t="s">
        <v>54</v>
      </c>
      <c r="D371" s="49" t="s">
        <v>640</v>
      </c>
      <c r="H371" s="23">
        <f>IF('Текущие цены с учетом расхода'!P19&gt;0,'Текущие цены с учетом расхода'!P19,IF('Текущие цены с учетом расхода'!P19&lt;0,'Текущие цены с учетом расхода'!P19,""))</f>
      </c>
      <c r="J371" s="14" t="s">
        <v>55</v>
      </c>
      <c r="N371" s="23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</c>
    </row>
    <row r="372" spans="3:14" ht="10.5" hidden="1">
      <c r="C372" s="21" t="s">
        <v>56</v>
      </c>
      <c r="D372" s="49" t="s">
        <v>640</v>
      </c>
      <c r="H372" s="23">
        <f>IF('Текущие цены с учетом расхода'!Q19&gt;0,'Текущие цены с учетом расхода'!Q19,IF('Текущие цены с учетом расхода'!Q19&lt;0,'Текущие цены с учетом расхода'!Q19,""))</f>
      </c>
      <c r="J372" s="14" t="s">
        <v>57</v>
      </c>
      <c r="N372" s="23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</row>
    <row r="373" spans="3:14" ht="10.5" hidden="1">
      <c r="C373" s="21" t="s">
        <v>58</v>
      </c>
      <c r="D373" s="49" t="s">
        <v>640</v>
      </c>
      <c r="H373" s="23">
        <f>IF('Текущие цены с учетом расхода'!O19&gt;0,'Текущие цены с учетом расхода'!O19,IF('Текущие цены с учетом расхода'!O19&lt;0,'Текущие цены с учетом расхода'!O19,""))</f>
      </c>
      <c r="J373" s="14" t="s">
        <v>59</v>
      </c>
      <c r="N373" s="23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</row>
    <row r="374" spans="3:14" ht="10.5" hidden="1">
      <c r="C374" s="21" t="s">
        <v>60</v>
      </c>
      <c r="D374" s="49" t="s">
        <v>640</v>
      </c>
      <c r="H374" s="23">
        <f>IF('Текущие цены с учетом расхода'!R19&gt;0,'Текущие цены с учетом расхода'!R19,IF('Текущие цены с учетом расхода'!R19&lt;0,'Текущие цены с учетом расхода'!R19,""))</f>
      </c>
      <c r="J374" s="14" t="s">
        <v>61</v>
      </c>
      <c r="N374" s="23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</c>
    </row>
    <row r="375" spans="3:14" ht="10.5" hidden="1">
      <c r="C375" s="21" t="s">
        <v>62</v>
      </c>
      <c r="D375" s="49" t="s">
        <v>640</v>
      </c>
      <c r="H375" s="23">
        <f>IF('Текущие цены с учетом расхода'!S19&gt;0,'Текущие цены с учетом расхода'!S19,IF('Текущие цены с учетом расхода'!S19&lt;0,'Текущие цены с учетом расхода'!S19,""))</f>
      </c>
      <c r="J375" s="14" t="s">
        <v>63</v>
      </c>
      <c r="N375" s="23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</row>
    <row r="376" spans="1:14" ht="10.5">
      <c r="A376" s="24" t="s">
        <v>202</v>
      </c>
      <c r="B376" s="24" t="s">
        <v>203</v>
      </c>
      <c r="C376" s="48" t="s">
        <v>645</v>
      </c>
      <c r="D376" s="49" t="s">
        <v>640</v>
      </c>
      <c r="E376" s="26"/>
      <c r="F376" s="27">
        <v>1</v>
      </c>
      <c r="G376" s="28">
        <f>ROUND(СУММПРОИЗВЕСЛИ(1,I376:I378,"s",E376:E378,G376:G378,0),2)</f>
        <v>62</v>
      </c>
      <c r="H376" s="28">
        <f>ROUND(СУММПРОИЗВЕСЛИ(F376,I376:I378,"s",E376:E378,G376:G378,0),2)</f>
        <v>62</v>
      </c>
      <c r="I376" s="1" t="s">
        <v>30</v>
      </c>
      <c r="M376" s="13">
        <f>ROUND(СУММПРОИЗВЕСЛИ(1,I376:I378,"s",E376:E378,M376:M378,0),2)</f>
        <v>0</v>
      </c>
      <c r="N376" s="13">
        <f>ROUND(СУММПРОИЗВЕСЛИ(F376,I376:I378,"s",E376:E378,M376:M378,0),2)</f>
        <v>0</v>
      </c>
    </row>
    <row r="377" spans="1:14" ht="10.5" hidden="1">
      <c r="A377" s="14" t="s">
        <v>204</v>
      </c>
      <c r="B377" s="14" t="s">
        <v>32</v>
      </c>
      <c r="C377" s="14" t="s">
        <v>33</v>
      </c>
      <c r="D377" s="49" t="s">
        <v>640</v>
      </c>
      <c r="E377" s="1">
        <v>0</v>
      </c>
      <c r="F377" s="1">
        <v>0</v>
      </c>
      <c r="G377" s="16">
        <f>IF(F377=0,0,ROUND(H377/F377,3))</f>
        <v>0</v>
      </c>
      <c r="H377" s="17"/>
      <c r="J377" s="1" t="s">
        <v>35</v>
      </c>
      <c r="M377" s="16">
        <f>IF(F377=0,0,ROUND(N377/F377,3))</f>
        <v>0</v>
      </c>
      <c r="N377" s="17"/>
    </row>
    <row r="378" spans="1:14" ht="10.5" hidden="1">
      <c r="A378" s="14" t="s">
        <v>205</v>
      </c>
      <c r="B378" s="18" t="str">
        <f>ПОЛУЧШИФР(Ресурсы!A45,1)</f>
        <v>С-5.</v>
      </c>
      <c r="C378" s="14">
        <f>Ресурсы!B45</f>
        <v>0</v>
      </c>
      <c r="D378" s="49" t="s">
        <v>640</v>
      </c>
      <c r="E378" s="1">
        <v>1</v>
      </c>
      <c r="F378" s="1">
        <f>ОКРУГЛВСЕ(IF(E378="",0,E378)*IF(F376="",0,F376),11)</f>
        <v>1</v>
      </c>
      <c r="G378" s="17">
        <f>ROUND(Ресурсы!D45*Начисления!AV20,2)</f>
        <v>62</v>
      </c>
      <c r="H378" s="17">
        <f>ROUND(IF(F378="",0,F378)*IF(G378="",0,G378),2)</f>
        <v>62</v>
      </c>
      <c r="I378" s="1" t="s">
        <v>38</v>
      </c>
      <c r="J378" s="1" t="s">
        <v>86</v>
      </c>
      <c r="M378" s="17">
        <f>ROUND(Ресурсы!C45*Начисления!AV20,2)</f>
        <v>0</v>
      </c>
      <c r="N378" s="17">
        <f>ROUND(IF(F378="",0,F378)*IF(M378="",0,M378),2)</f>
        <v>0</v>
      </c>
    </row>
    <row r="379" spans="3:4" ht="10.5" hidden="1">
      <c r="C379" s="21" t="s">
        <v>42</v>
      </c>
      <c r="D379" s="49" t="s">
        <v>640</v>
      </c>
    </row>
    <row r="380" spans="3:4" ht="10.5" hidden="1">
      <c r="C380" s="21" t="s">
        <v>43</v>
      </c>
      <c r="D380" s="49" t="s">
        <v>640</v>
      </c>
    </row>
    <row r="381" spans="3:4" ht="10.5" hidden="1">
      <c r="C381" s="21" t="s">
        <v>44</v>
      </c>
      <c r="D381" s="49" t="s">
        <v>640</v>
      </c>
    </row>
    <row r="382" spans="3:8" ht="10.5" hidden="1">
      <c r="C382" s="21" t="s">
        <v>45</v>
      </c>
      <c r="D382" s="49" t="s">
        <v>640</v>
      </c>
      <c r="H382" s="1">
        <v>62</v>
      </c>
    </row>
    <row r="383" spans="3:4" ht="10.5" hidden="1">
      <c r="C383" s="21" t="s">
        <v>46</v>
      </c>
      <c r="D383" s="49" t="s">
        <v>640</v>
      </c>
    </row>
    <row r="384" spans="3:13" ht="21" hidden="1">
      <c r="C384" s="21" t="s">
        <v>47</v>
      </c>
      <c r="D384" s="49" t="s">
        <v>640</v>
      </c>
      <c r="G384" s="22"/>
      <c r="I384" s="1" t="s">
        <v>48</v>
      </c>
      <c r="M384" s="22"/>
    </row>
    <row r="385" spans="3:4" ht="10.5" hidden="1">
      <c r="C385" s="21" t="s">
        <v>49</v>
      </c>
      <c r="D385" s="49" t="s">
        <v>640</v>
      </c>
    </row>
    <row r="386" spans="3:4" ht="10.5" hidden="1">
      <c r="C386" s="21" t="s">
        <v>50</v>
      </c>
      <c r="D386" s="49" t="s">
        <v>640</v>
      </c>
    </row>
    <row r="387" spans="3:4" ht="10.5" hidden="1">
      <c r="C387" s="21" t="s">
        <v>51</v>
      </c>
      <c r="D387" s="49" t="s">
        <v>640</v>
      </c>
    </row>
    <row r="388" spans="3:14" ht="10.5" hidden="1">
      <c r="C388" s="21" t="s">
        <v>52</v>
      </c>
      <c r="D388" s="49" t="s">
        <v>640</v>
      </c>
      <c r="H388" s="23">
        <f>IF('Текущие цены с учетом расхода'!N20&gt;0,'Текущие цены с учетом расхода'!N20,IF('Текущие цены с учетом расхода'!N20&lt;0,'Текущие цены с учетом расхода'!N20,""))</f>
      </c>
      <c r="J388" s="14" t="s">
        <v>53</v>
      </c>
      <c r="N388" s="23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</row>
    <row r="389" spans="3:14" ht="10.5" hidden="1">
      <c r="C389" s="21" t="s">
        <v>54</v>
      </c>
      <c r="D389" s="49" t="s">
        <v>640</v>
      </c>
      <c r="H389" s="23">
        <f>IF('Текущие цены с учетом расхода'!P20&gt;0,'Текущие цены с учетом расхода'!P20,IF('Текущие цены с учетом расхода'!P20&lt;0,'Текущие цены с учетом расхода'!P20,""))</f>
      </c>
      <c r="J389" s="14" t="s">
        <v>55</v>
      </c>
      <c r="N389" s="23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</c>
    </row>
    <row r="390" spans="3:14" ht="10.5" hidden="1">
      <c r="C390" s="21" t="s">
        <v>56</v>
      </c>
      <c r="D390" s="49" t="s">
        <v>640</v>
      </c>
      <c r="H390" s="23">
        <f>IF('Текущие цены с учетом расхода'!Q20&gt;0,'Текущие цены с учетом расхода'!Q20,IF('Текущие цены с учетом расхода'!Q20&lt;0,'Текущие цены с учетом расхода'!Q20,""))</f>
      </c>
      <c r="J390" s="14" t="s">
        <v>57</v>
      </c>
      <c r="N390" s="23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</c>
    </row>
    <row r="391" spans="3:14" ht="10.5" hidden="1">
      <c r="C391" s="21" t="s">
        <v>58</v>
      </c>
      <c r="D391" s="49" t="s">
        <v>640</v>
      </c>
      <c r="H391" s="23">
        <f>IF('Текущие цены с учетом расхода'!O20&gt;0,'Текущие цены с учетом расхода'!O20,IF('Текущие цены с учетом расхода'!O20&lt;0,'Текущие цены с учетом расхода'!O20,""))</f>
      </c>
      <c r="J391" s="14" t="s">
        <v>59</v>
      </c>
      <c r="N391" s="23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</row>
    <row r="392" spans="3:14" ht="10.5" hidden="1">
      <c r="C392" s="21" t="s">
        <v>60</v>
      </c>
      <c r="D392" s="49" t="s">
        <v>640</v>
      </c>
      <c r="H392" s="23">
        <f>IF('Текущие цены с учетом расхода'!R20&gt;0,'Текущие цены с учетом расхода'!R20,IF('Текущие цены с учетом расхода'!R20&lt;0,'Текущие цены с учетом расхода'!R20,""))</f>
      </c>
      <c r="J392" s="14" t="s">
        <v>61</v>
      </c>
      <c r="N392" s="23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</c>
    </row>
    <row r="393" spans="3:14" ht="10.5" hidden="1">
      <c r="C393" s="21" t="s">
        <v>62</v>
      </c>
      <c r="D393" s="49" t="s">
        <v>640</v>
      </c>
      <c r="H393" s="23">
        <f>IF('Текущие цены с учетом расхода'!S20&gt;0,'Текущие цены с учетом расхода'!S20,IF('Текущие цены с учетом расхода'!S20&lt;0,'Текущие цены с учетом расхода'!S20,""))</f>
      </c>
      <c r="J393" s="14" t="s">
        <v>63</v>
      </c>
      <c r="N393" s="23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</c>
    </row>
    <row r="394" spans="1:14" ht="10.5">
      <c r="A394" s="24" t="s">
        <v>206</v>
      </c>
      <c r="B394" s="24" t="s">
        <v>207</v>
      </c>
      <c r="C394" s="48" t="s">
        <v>646</v>
      </c>
      <c r="D394" s="49" t="s">
        <v>640</v>
      </c>
      <c r="E394" s="26"/>
      <c r="F394" s="27">
        <v>1</v>
      </c>
      <c r="G394" s="28">
        <f>ROUND(СУММПРОИЗВЕСЛИ(1,I394:I396,"s",E394:E396,G394:G396,0),2)</f>
        <v>21.25</v>
      </c>
      <c r="H394" s="28">
        <f>ROUND(СУММПРОИЗВЕСЛИ(F394,I394:I396,"s",E394:E396,G394:G396,0),2)</f>
        <v>21.25</v>
      </c>
      <c r="I394" s="1" t="s">
        <v>30</v>
      </c>
      <c r="M394" s="13">
        <f>ROUND(СУММПРОИЗВЕСЛИ(1,I394:I396,"s",E394:E396,M394:M396,0),2)</f>
        <v>0</v>
      </c>
      <c r="N394" s="13">
        <f>ROUND(СУММПРОИЗВЕСЛИ(F394,I394:I396,"s",E394:E396,M394:M396,0),2)</f>
        <v>0</v>
      </c>
    </row>
    <row r="395" spans="1:14" ht="10.5" hidden="1">
      <c r="A395" s="14" t="s">
        <v>208</v>
      </c>
      <c r="B395" s="14" t="s">
        <v>32</v>
      </c>
      <c r="C395" s="14" t="s">
        <v>33</v>
      </c>
      <c r="D395" s="49" t="s">
        <v>640</v>
      </c>
      <c r="E395" s="1">
        <v>0</v>
      </c>
      <c r="F395" s="1">
        <v>0</v>
      </c>
      <c r="G395" s="16">
        <f>IF(F395=0,0,ROUND(H395/F395,3))</f>
        <v>0</v>
      </c>
      <c r="H395" s="17"/>
      <c r="J395" s="1" t="s">
        <v>35</v>
      </c>
      <c r="M395" s="16">
        <f>IF(F395=0,0,ROUND(N395/F395,3))</f>
        <v>0</v>
      </c>
      <c r="N395" s="17"/>
    </row>
    <row r="396" spans="1:14" ht="10.5" hidden="1">
      <c r="A396" s="14" t="s">
        <v>209</v>
      </c>
      <c r="B396" s="18" t="str">
        <f>ПОЛУЧШИФР(Ресурсы!A46,1)</f>
        <v>С-6.</v>
      </c>
      <c r="C396" s="14">
        <f>Ресурсы!B46</f>
        <v>0</v>
      </c>
      <c r="D396" s="49" t="s">
        <v>640</v>
      </c>
      <c r="E396" s="1">
        <v>1</v>
      </c>
      <c r="F396" s="1">
        <f>ОКРУГЛВСЕ(IF(E396="",0,E396)*IF(F394="",0,F394),11)</f>
        <v>1</v>
      </c>
      <c r="G396" s="17">
        <f>ROUND(Ресурсы!D46*Начисления!AV21,2)</f>
        <v>21.25</v>
      </c>
      <c r="H396" s="17">
        <f>ROUND(IF(F396="",0,F396)*IF(G396="",0,G396),2)</f>
        <v>21.25</v>
      </c>
      <c r="I396" s="1" t="s">
        <v>38</v>
      </c>
      <c r="J396" s="1" t="s">
        <v>86</v>
      </c>
      <c r="M396" s="17">
        <f>ROUND(Ресурсы!C46*Начисления!AV21,2)</f>
        <v>0</v>
      </c>
      <c r="N396" s="17">
        <f>ROUND(IF(F396="",0,F396)*IF(M396="",0,M396),2)</f>
        <v>0</v>
      </c>
    </row>
    <row r="397" spans="3:4" ht="10.5" hidden="1">
      <c r="C397" s="21" t="s">
        <v>42</v>
      </c>
      <c r="D397" s="49" t="s">
        <v>640</v>
      </c>
    </row>
    <row r="398" spans="3:4" ht="10.5" hidden="1">
      <c r="C398" s="21" t="s">
        <v>43</v>
      </c>
      <c r="D398" s="49" t="s">
        <v>640</v>
      </c>
    </row>
    <row r="399" spans="3:4" ht="10.5" hidden="1">
      <c r="C399" s="21" t="s">
        <v>44</v>
      </c>
      <c r="D399" s="49" t="s">
        <v>640</v>
      </c>
    </row>
    <row r="400" spans="3:8" ht="10.5" hidden="1">
      <c r="C400" s="21" t="s">
        <v>45</v>
      </c>
      <c r="D400" s="49" t="s">
        <v>640</v>
      </c>
      <c r="H400" s="1">
        <v>21.25</v>
      </c>
    </row>
    <row r="401" spans="3:4" ht="10.5" hidden="1">
      <c r="C401" s="21" t="s">
        <v>46</v>
      </c>
      <c r="D401" s="49" t="s">
        <v>640</v>
      </c>
    </row>
    <row r="402" spans="3:13" ht="21" hidden="1">
      <c r="C402" s="21" t="s">
        <v>47</v>
      </c>
      <c r="D402" s="49" t="s">
        <v>640</v>
      </c>
      <c r="G402" s="22"/>
      <c r="I402" s="1" t="s">
        <v>48</v>
      </c>
      <c r="M402" s="22"/>
    </row>
    <row r="403" spans="3:4" ht="10.5" hidden="1">
      <c r="C403" s="21" t="s">
        <v>49</v>
      </c>
      <c r="D403" s="49" t="s">
        <v>640</v>
      </c>
    </row>
    <row r="404" spans="3:4" ht="10.5" hidden="1">
      <c r="C404" s="21" t="s">
        <v>50</v>
      </c>
      <c r="D404" s="49" t="s">
        <v>640</v>
      </c>
    </row>
    <row r="405" spans="3:4" ht="10.5" hidden="1">
      <c r="C405" s="21" t="s">
        <v>51</v>
      </c>
      <c r="D405" s="49" t="s">
        <v>640</v>
      </c>
    </row>
    <row r="406" spans="3:14" ht="10.5" hidden="1">
      <c r="C406" s="21" t="s">
        <v>52</v>
      </c>
      <c r="D406" s="49" t="s">
        <v>640</v>
      </c>
      <c r="H406" s="23">
        <f>IF('Текущие цены с учетом расхода'!N21&gt;0,'Текущие цены с учетом расхода'!N21,IF('Текущие цены с учетом расхода'!N21&lt;0,'Текущие цены с учетом расхода'!N21,""))</f>
      </c>
      <c r="J406" s="14" t="s">
        <v>53</v>
      </c>
      <c r="N406" s="23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</row>
    <row r="407" spans="3:14" ht="10.5" hidden="1">
      <c r="C407" s="21" t="s">
        <v>54</v>
      </c>
      <c r="D407" s="49" t="s">
        <v>640</v>
      </c>
      <c r="H407" s="23">
        <f>IF('Текущие цены с учетом расхода'!P21&gt;0,'Текущие цены с учетом расхода'!P21,IF('Текущие цены с учетом расхода'!P21&lt;0,'Текущие цены с учетом расхода'!P21,""))</f>
      </c>
      <c r="J407" s="14" t="s">
        <v>55</v>
      </c>
      <c r="N407" s="23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</c>
    </row>
    <row r="408" spans="3:14" ht="10.5" hidden="1">
      <c r="C408" s="21" t="s">
        <v>56</v>
      </c>
      <c r="D408" s="49" t="s">
        <v>640</v>
      </c>
      <c r="H408" s="23">
        <f>IF('Текущие цены с учетом расхода'!Q21&gt;0,'Текущие цены с учетом расхода'!Q21,IF('Текущие цены с учетом расхода'!Q21&lt;0,'Текущие цены с учетом расхода'!Q21,""))</f>
      </c>
      <c r="J408" s="14" t="s">
        <v>57</v>
      </c>
      <c r="N408" s="23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</c>
    </row>
    <row r="409" spans="3:14" ht="10.5" hidden="1">
      <c r="C409" s="21" t="s">
        <v>58</v>
      </c>
      <c r="D409" s="49" t="s">
        <v>640</v>
      </c>
      <c r="H409" s="23">
        <f>IF('Текущие цены с учетом расхода'!O21&gt;0,'Текущие цены с учетом расхода'!O21,IF('Текущие цены с учетом расхода'!O21&lt;0,'Текущие цены с учетом расхода'!O21,""))</f>
      </c>
      <c r="J409" s="14" t="s">
        <v>59</v>
      </c>
      <c r="N409" s="23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</row>
    <row r="410" spans="3:14" ht="10.5" hidden="1">
      <c r="C410" s="21" t="s">
        <v>60</v>
      </c>
      <c r="D410" s="49" t="s">
        <v>640</v>
      </c>
      <c r="H410" s="23">
        <f>IF('Текущие цены с учетом расхода'!R21&gt;0,'Текущие цены с учетом расхода'!R21,IF('Текущие цены с учетом расхода'!R21&lt;0,'Текущие цены с учетом расхода'!R21,""))</f>
      </c>
      <c r="J410" s="14" t="s">
        <v>61</v>
      </c>
      <c r="N410" s="23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</c>
    </row>
    <row r="411" spans="3:14" ht="10.5" hidden="1">
      <c r="C411" s="21" t="s">
        <v>62</v>
      </c>
      <c r="D411" s="49" t="s">
        <v>640</v>
      </c>
      <c r="H411" s="23">
        <f>IF('Текущие цены с учетом расхода'!S21&gt;0,'Текущие цены с учетом расхода'!S21,IF('Текущие цены с учетом расхода'!S21&lt;0,'Текущие цены с учетом расхода'!S21,""))</f>
      </c>
      <c r="J411" s="14" t="s">
        <v>63</v>
      </c>
      <c r="N411" s="23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</c>
    </row>
    <row r="412" spans="1:14" ht="10.5">
      <c r="A412" s="24" t="s">
        <v>210</v>
      </c>
      <c r="B412" s="24" t="s">
        <v>211</v>
      </c>
      <c r="C412" s="48" t="s">
        <v>647</v>
      </c>
      <c r="D412" s="49" t="s">
        <v>640</v>
      </c>
      <c r="E412" s="26"/>
      <c r="F412" s="27">
        <v>5</v>
      </c>
      <c r="G412" s="28">
        <f>ROUND(СУММПРОИЗВЕСЛИ(1,I412:I414,"s",E412:E414,G412:G414,0),2)</f>
        <v>50</v>
      </c>
      <c r="H412" s="28">
        <f>ROUND(СУММПРОИЗВЕСЛИ(F412,I412:I414,"s",E412:E414,G412:G414,0),2)</f>
        <v>250</v>
      </c>
      <c r="I412" s="1" t="s">
        <v>30</v>
      </c>
      <c r="M412" s="13">
        <f>ROUND(СУММПРОИЗВЕСЛИ(1,I412:I414,"s",E412:E414,M412:M414,0),2)</f>
        <v>0</v>
      </c>
      <c r="N412" s="13">
        <f>ROUND(СУММПРОИЗВЕСЛИ(F412,I412:I414,"s",E412:E414,M412:M414,0),2)</f>
        <v>0</v>
      </c>
    </row>
    <row r="413" spans="1:14" ht="10.5" hidden="1">
      <c r="A413" s="14" t="s">
        <v>212</v>
      </c>
      <c r="B413" s="14" t="s">
        <v>32</v>
      </c>
      <c r="C413" s="14" t="s">
        <v>33</v>
      </c>
      <c r="D413" s="49" t="s">
        <v>640</v>
      </c>
      <c r="E413" s="1">
        <v>0</v>
      </c>
      <c r="F413" s="1">
        <v>0</v>
      </c>
      <c r="G413" s="16">
        <f>IF(F413=0,0,ROUND(H413/F413,3))</f>
        <v>0</v>
      </c>
      <c r="H413" s="17"/>
      <c r="J413" s="1" t="s">
        <v>35</v>
      </c>
      <c r="M413" s="16">
        <f>IF(F413=0,0,ROUND(N413/F413,3))</f>
        <v>0</v>
      </c>
      <c r="N413" s="17"/>
    </row>
    <row r="414" spans="1:14" ht="10.5" hidden="1">
      <c r="A414" s="14" t="s">
        <v>213</v>
      </c>
      <c r="B414" s="18" t="str">
        <f>ПОЛУЧШИФР(Ресурсы!A47,1)</f>
        <v>С-7.</v>
      </c>
      <c r="C414" s="14">
        <f>Ресурсы!B47</f>
        <v>0</v>
      </c>
      <c r="D414" s="49" t="s">
        <v>640</v>
      </c>
      <c r="E414" s="1">
        <v>1</v>
      </c>
      <c r="F414" s="1">
        <f>ОКРУГЛВСЕ(IF(E414="",0,E414)*IF(F412="",0,F412),11)</f>
        <v>5</v>
      </c>
      <c r="G414" s="17">
        <f>ROUND(Ресурсы!D47*Начисления!AV22,2)</f>
        <v>50</v>
      </c>
      <c r="H414" s="17">
        <f>ROUND(IF(F414="",0,F414)*IF(G414="",0,G414),2)</f>
        <v>250</v>
      </c>
      <c r="I414" s="1" t="s">
        <v>38</v>
      </c>
      <c r="J414" s="1" t="s">
        <v>86</v>
      </c>
      <c r="M414" s="17">
        <f>ROUND(Ресурсы!C47*Начисления!AV22,2)</f>
        <v>0</v>
      </c>
      <c r="N414" s="17">
        <f>ROUND(IF(F414="",0,F414)*IF(M414="",0,M414),2)</f>
        <v>0</v>
      </c>
    </row>
    <row r="415" spans="3:4" ht="10.5" hidden="1">
      <c r="C415" s="21" t="s">
        <v>42</v>
      </c>
      <c r="D415" s="49" t="s">
        <v>640</v>
      </c>
    </row>
    <row r="416" spans="3:4" ht="10.5" hidden="1">
      <c r="C416" s="21" t="s">
        <v>43</v>
      </c>
      <c r="D416" s="49" t="s">
        <v>640</v>
      </c>
    </row>
    <row r="417" spans="3:4" ht="10.5" hidden="1">
      <c r="C417" s="21" t="s">
        <v>44</v>
      </c>
      <c r="D417" s="49" t="s">
        <v>640</v>
      </c>
    </row>
    <row r="418" spans="3:8" ht="10.5" hidden="1">
      <c r="C418" s="21" t="s">
        <v>45</v>
      </c>
      <c r="D418" s="49" t="s">
        <v>640</v>
      </c>
      <c r="H418" s="1">
        <v>250</v>
      </c>
    </row>
    <row r="419" spans="3:4" ht="10.5" hidden="1">
      <c r="C419" s="21" t="s">
        <v>46</v>
      </c>
      <c r="D419" s="49" t="s">
        <v>640</v>
      </c>
    </row>
    <row r="420" spans="3:13" ht="21" hidden="1">
      <c r="C420" s="21" t="s">
        <v>47</v>
      </c>
      <c r="D420" s="49" t="s">
        <v>640</v>
      </c>
      <c r="G420" s="22"/>
      <c r="I420" s="1" t="s">
        <v>48</v>
      </c>
      <c r="M420" s="22"/>
    </row>
    <row r="421" spans="3:4" ht="10.5" hidden="1">
      <c r="C421" s="21" t="s">
        <v>49</v>
      </c>
      <c r="D421" s="49" t="s">
        <v>640</v>
      </c>
    </row>
    <row r="422" spans="3:4" ht="10.5" hidden="1">
      <c r="C422" s="21" t="s">
        <v>50</v>
      </c>
      <c r="D422" s="49" t="s">
        <v>640</v>
      </c>
    </row>
    <row r="423" spans="3:4" ht="10.5" hidden="1">
      <c r="C423" s="21" t="s">
        <v>51</v>
      </c>
      <c r="D423" s="49" t="s">
        <v>640</v>
      </c>
    </row>
    <row r="424" spans="3:14" ht="10.5" hidden="1">
      <c r="C424" s="21" t="s">
        <v>52</v>
      </c>
      <c r="D424" s="49" t="s">
        <v>640</v>
      </c>
      <c r="H424" s="23">
        <f>IF('Текущие цены с учетом расхода'!N22&gt;0,'Текущие цены с учетом расхода'!N22,IF('Текущие цены с учетом расхода'!N22&lt;0,'Текущие цены с учетом расхода'!N22,""))</f>
      </c>
      <c r="J424" s="14" t="s">
        <v>53</v>
      </c>
      <c r="N424" s="23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</row>
    <row r="425" spans="3:14" ht="10.5" hidden="1">
      <c r="C425" s="21" t="s">
        <v>54</v>
      </c>
      <c r="D425" s="49" t="s">
        <v>640</v>
      </c>
      <c r="H425" s="23">
        <f>IF('Текущие цены с учетом расхода'!P22&gt;0,'Текущие цены с учетом расхода'!P22,IF('Текущие цены с учетом расхода'!P22&lt;0,'Текущие цены с учетом расхода'!P22,""))</f>
      </c>
      <c r="J425" s="14" t="s">
        <v>55</v>
      </c>
      <c r="N425" s="23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</c>
    </row>
    <row r="426" spans="3:14" ht="10.5" hidden="1">
      <c r="C426" s="21" t="s">
        <v>56</v>
      </c>
      <c r="D426" s="49" t="s">
        <v>640</v>
      </c>
      <c r="H426" s="23">
        <f>IF('Текущие цены с учетом расхода'!Q22&gt;0,'Текущие цены с учетом расхода'!Q22,IF('Текущие цены с учетом расхода'!Q22&lt;0,'Текущие цены с учетом расхода'!Q22,""))</f>
      </c>
      <c r="J426" s="14" t="s">
        <v>57</v>
      </c>
      <c r="N426" s="23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</row>
    <row r="427" spans="3:14" ht="10.5" hidden="1">
      <c r="C427" s="21" t="s">
        <v>58</v>
      </c>
      <c r="D427" s="49" t="s">
        <v>640</v>
      </c>
      <c r="H427" s="23">
        <f>IF('Текущие цены с учетом расхода'!O22&gt;0,'Текущие цены с учетом расхода'!O22,IF('Текущие цены с учетом расхода'!O22&lt;0,'Текущие цены с учетом расхода'!O22,""))</f>
      </c>
      <c r="J427" s="14" t="s">
        <v>59</v>
      </c>
      <c r="N427" s="23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</row>
    <row r="428" spans="3:14" ht="10.5" hidden="1">
      <c r="C428" s="21" t="s">
        <v>60</v>
      </c>
      <c r="D428" s="49" t="s">
        <v>640</v>
      </c>
      <c r="H428" s="23">
        <f>IF('Текущие цены с учетом расхода'!R22&gt;0,'Текущие цены с учетом расхода'!R22,IF('Текущие цены с учетом расхода'!R22&lt;0,'Текущие цены с учетом расхода'!R22,""))</f>
      </c>
      <c r="J428" s="14" t="s">
        <v>61</v>
      </c>
      <c r="N428" s="23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</c>
    </row>
    <row r="429" spans="3:14" ht="10.5" hidden="1">
      <c r="C429" s="21" t="s">
        <v>62</v>
      </c>
      <c r="D429" s="49" t="s">
        <v>640</v>
      </c>
      <c r="H429" s="23">
        <f>IF('Текущие цены с учетом расхода'!S22&gt;0,'Текущие цены с учетом расхода'!S22,IF('Текущие цены с учетом расхода'!S22&lt;0,'Текущие цены с учетом расхода'!S22,""))</f>
      </c>
      <c r="J429" s="14" t="s">
        <v>63</v>
      </c>
      <c r="N429" s="23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</row>
    <row r="430" spans="1:14" ht="10.5">
      <c r="A430" s="24" t="s">
        <v>214</v>
      </c>
      <c r="B430" s="24" t="s">
        <v>215</v>
      </c>
      <c r="C430" s="48" t="s">
        <v>648</v>
      </c>
      <c r="D430" s="49" t="s">
        <v>640</v>
      </c>
      <c r="E430" s="26"/>
      <c r="F430" s="27">
        <v>1</v>
      </c>
      <c r="G430" s="28">
        <f>ROUND(СУММПРОИЗВЕСЛИ(1,I430:I432,"s",E430:E432,G430:G432,0),2)</f>
        <v>200</v>
      </c>
      <c r="H430" s="28">
        <f>ROUND(СУММПРОИЗВЕСЛИ(F430,I430:I432,"s",E430:E432,G430:G432,0),2)</f>
        <v>200</v>
      </c>
      <c r="I430" s="1" t="s">
        <v>30</v>
      </c>
      <c r="M430" s="13">
        <f>ROUND(СУММПРОИЗВЕСЛИ(1,I430:I432,"s",E430:E432,M430:M432,0),2)</f>
        <v>0</v>
      </c>
      <c r="N430" s="13">
        <f>ROUND(СУММПРОИЗВЕСЛИ(F430,I430:I432,"s",E430:E432,M430:M432,0),2)</f>
        <v>0</v>
      </c>
    </row>
    <row r="431" spans="1:14" ht="10.5" hidden="1">
      <c r="A431" s="14" t="s">
        <v>216</v>
      </c>
      <c r="B431" s="14" t="s">
        <v>32</v>
      </c>
      <c r="C431" s="14" t="s">
        <v>33</v>
      </c>
      <c r="D431" s="49" t="s">
        <v>640</v>
      </c>
      <c r="E431" s="1">
        <v>0</v>
      </c>
      <c r="F431" s="1">
        <v>0</v>
      </c>
      <c r="G431" s="16">
        <f>IF(F431=0,0,ROUND(H431/F431,3))</f>
        <v>0</v>
      </c>
      <c r="H431" s="17"/>
      <c r="J431" s="1" t="s">
        <v>35</v>
      </c>
      <c r="M431" s="16">
        <f>IF(F431=0,0,ROUND(N431/F431,3))</f>
        <v>0</v>
      </c>
      <c r="N431" s="17"/>
    </row>
    <row r="432" spans="1:14" ht="10.5" hidden="1">
      <c r="A432" s="14" t="s">
        <v>217</v>
      </c>
      <c r="B432" s="18" t="str">
        <f>ПОЛУЧШИФР(Ресурсы!A48,1)</f>
        <v>С-8.</v>
      </c>
      <c r="C432" s="14">
        <f>Ресурсы!B48</f>
        <v>0</v>
      </c>
      <c r="D432" s="49" t="s">
        <v>640</v>
      </c>
      <c r="E432" s="1">
        <v>1</v>
      </c>
      <c r="F432" s="1">
        <f>ОКРУГЛВСЕ(IF(E432="",0,E432)*IF(F430="",0,F430),11)</f>
        <v>1</v>
      </c>
      <c r="G432" s="17">
        <f>ROUND(Ресурсы!D48*Начисления!AV23,2)</f>
        <v>200</v>
      </c>
      <c r="H432" s="17">
        <f>ROUND(IF(F432="",0,F432)*IF(G432="",0,G432),2)</f>
        <v>200</v>
      </c>
      <c r="I432" s="1" t="s">
        <v>38</v>
      </c>
      <c r="J432" s="1" t="s">
        <v>86</v>
      </c>
      <c r="M432" s="17">
        <f>ROUND(Ресурсы!C48*Начисления!AV23,2)</f>
        <v>0</v>
      </c>
      <c r="N432" s="17">
        <f>ROUND(IF(F432="",0,F432)*IF(M432="",0,M432),2)</f>
        <v>0</v>
      </c>
    </row>
    <row r="433" spans="3:4" ht="10.5" hidden="1">
      <c r="C433" s="21" t="s">
        <v>42</v>
      </c>
      <c r="D433" s="49" t="s">
        <v>640</v>
      </c>
    </row>
    <row r="434" spans="3:4" ht="10.5" hidden="1">
      <c r="C434" s="21" t="s">
        <v>43</v>
      </c>
      <c r="D434" s="49" t="s">
        <v>640</v>
      </c>
    </row>
    <row r="435" spans="3:4" ht="10.5" hidden="1">
      <c r="C435" s="21" t="s">
        <v>44</v>
      </c>
      <c r="D435" s="49" t="s">
        <v>640</v>
      </c>
    </row>
    <row r="436" spans="3:8" ht="10.5" hidden="1">
      <c r="C436" s="21" t="s">
        <v>45</v>
      </c>
      <c r="D436" s="49" t="s">
        <v>640</v>
      </c>
      <c r="H436" s="1">
        <v>200</v>
      </c>
    </row>
    <row r="437" spans="3:4" ht="10.5" hidden="1">
      <c r="C437" s="21" t="s">
        <v>46</v>
      </c>
      <c r="D437" s="49" t="s">
        <v>640</v>
      </c>
    </row>
    <row r="438" spans="3:13" ht="21" hidden="1">
      <c r="C438" s="21" t="s">
        <v>47</v>
      </c>
      <c r="D438" s="49" t="s">
        <v>640</v>
      </c>
      <c r="G438" s="22"/>
      <c r="I438" s="1" t="s">
        <v>48</v>
      </c>
      <c r="M438" s="22"/>
    </row>
    <row r="439" spans="3:4" ht="10.5" hidden="1">
      <c r="C439" s="21" t="s">
        <v>49</v>
      </c>
      <c r="D439" s="49" t="s">
        <v>640</v>
      </c>
    </row>
    <row r="440" spans="3:4" ht="10.5" hidden="1">
      <c r="C440" s="21" t="s">
        <v>50</v>
      </c>
      <c r="D440" s="49" t="s">
        <v>640</v>
      </c>
    </row>
    <row r="441" spans="3:4" ht="10.5" hidden="1">
      <c r="C441" s="21" t="s">
        <v>51</v>
      </c>
      <c r="D441" s="49" t="s">
        <v>640</v>
      </c>
    </row>
    <row r="442" spans="3:14" ht="10.5" hidden="1">
      <c r="C442" s="21" t="s">
        <v>52</v>
      </c>
      <c r="D442" s="49" t="s">
        <v>640</v>
      </c>
      <c r="H442" s="23">
        <f>IF('Текущие цены с учетом расхода'!N23&gt;0,'Текущие цены с учетом расхода'!N23,IF('Текущие цены с учетом расхода'!N23&lt;0,'Текущие цены с учетом расхода'!N23,""))</f>
      </c>
      <c r="J442" s="14" t="s">
        <v>53</v>
      </c>
      <c r="N442" s="23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</row>
    <row r="443" spans="3:14" ht="10.5" hidden="1">
      <c r="C443" s="21" t="s">
        <v>54</v>
      </c>
      <c r="D443" s="49" t="s">
        <v>640</v>
      </c>
      <c r="H443" s="23">
        <f>IF('Текущие цены с учетом расхода'!P23&gt;0,'Текущие цены с учетом расхода'!P23,IF('Текущие цены с учетом расхода'!P23&lt;0,'Текущие цены с учетом расхода'!P23,""))</f>
      </c>
      <c r="J443" s="14" t="s">
        <v>55</v>
      </c>
      <c r="N443" s="23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</c>
    </row>
    <row r="444" spans="3:14" ht="10.5" hidden="1">
      <c r="C444" s="21" t="s">
        <v>56</v>
      </c>
      <c r="D444" s="49" t="s">
        <v>640</v>
      </c>
      <c r="H444" s="23">
        <f>IF('Текущие цены с учетом расхода'!Q23&gt;0,'Текущие цены с учетом расхода'!Q23,IF('Текущие цены с учетом расхода'!Q23&lt;0,'Текущие цены с учетом расхода'!Q23,""))</f>
      </c>
      <c r="J444" s="14" t="s">
        <v>57</v>
      </c>
      <c r="N444" s="23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</c>
    </row>
    <row r="445" spans="3:14" ht="10.5" hidden="1">
      <c r="C445" s="21" t="s">
        <v>58</v>
      </c>
      <c r="D445" s="49" t="s">
        <v>640</v>
      </c>
      <c r="H445" s="23">
        <f>IF('Текущие цены с учетом расхода'!O23&gt;0,'Текущие цены с учетом расхода'!O23,IF('Текущие цены с учетом расхода'!O23&lt;0,'Текущие цены с учетом расхода'!O23,""))</f>
      </c>
      <c r="J445" s="14" t="s">
        <v>59</v>
      </c>
      <c r="N445" s="23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</row>
    <row r="446" spans="3:14" ht="10.5" hidden="1">
      <c r="C446" s="21" t="s">
        <v>60</v>
      </c>
      <c r="D446" s="49" t="s">
        <v>640</v>
      </c>
      <c r="H446" s="23">
        <f>IF('Текущие цены с учетом расхода'!R23&gt;0,'Текущие цены с учетом расхода'!R23,IF('Текущие цены с учетом расхода'!R23&lt;0,'Текущие цены с учетом расхода'!R23,""))</f>
      </c>
      <c r="J446" s="14" t="s">
        <v>61</v>
      </c>
      <c r="N446" s="23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</c>
    </row>
    <row r="447" spans="3:14" ht="10.5" hidden="1">
      <c r="C447" s="21" t="s">
        <v>62</v>
      </c>
      <c r="D447" s="49" t="s">
        <v>640</v>
      </c>
      <c r="H447" s="23">
        <f>IF('Текущие цены с учетом расхода'!S23&gt;0,'Текущие цены с учетом расхода'!S23,IF('Текущие цены с учетом расхода'!S23&lt;0,'Текущие цены с учетом расхода'!S23,""))</f>
      </c>
      <c r="J447" s="14" t="s">
        <v>63</v>
      </c>
      <c r="N447" s="23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</c>
    </row>
    <row r="448" spans="1:14" ht="10.5">
      <c r="A448" s="24" t="s">
        <v>218</v>
      </c>
      <c r="B448" s="24" t="s">
        <v>219</v>
      </c>
      <c r="C448" s="48" t="s">
        <v>649</v>
      </c>
      <c r="D448" s="49" t="s">
        <v>640</v>
      </c>
      <c r="E448" s="26"/>
      <c r="F448" s="27">
        <v>2</v>
      </c>
      <c r="G448" s="28">
        <f>ROUND(СУММПРОИЗВЕСЛИ(1,I448:I450,"s",E448:E450,G448:G450,0),2)</f>
        <v>3700</v>
      </c>
      <c r="H448" s="28">
        <f>ROUND(СУММПРОИЗВЕСЛИ(F448,I448:I450,"s",E448:E450,G448:G450,0),2)</f>
        <v>7400</v>
      </c>
      <c r="I448" s="1" t="s">
        <v>30</v>
      </c>
      <c r="M448" s="13">
        <f>ROUND(СУММПРОИЗВЕСЛИ(1,I448:I450,"s",E448:E450,M448:M450,0),2)</f>
        <v>0</v>
      </c>
      <c r="N448" s="13">
        <f>ROUND(СУММПРОИЗВЕСЛИ(F448,I448:I450,"s",E448:E450,M448:M450,0),2)</f>
        <v>0</v>
      </c>
    </row>
    <row r="449" spans="1:14" ht="10.5" hidden="1">
      <c r="A449" s="14" t="s">
        <v>220</v>
      </c>
      <c r="B449" s="14" t="s">
        <v>32</v>
      </c>
      <c r="C449" s="14" t="s">
        <v>33</v>
      </c>
      <c r="D449" s="49" t="s">
        <v>640</v>
      </c>
      <c r="E449" s="1">
        <v>0</v>
      </c>
      <c r="F449" s="1">
        <v>0</v>
      </c>
      <c r="G449" s="16">
        <f>IF(F449=0,0,ROUND(H449/F449,3))</f>
        <v>0</v>
      </c>
      <c r="H449" s="17"/>
      <c r="J449" s="1" t="s">
        <v>35</v>
      </c>
      <c r="M449" s="16">
        <f>IF(F449=0,0,ROUND(N449/F449,3))</f>
        <v>0</v>
      </c>
      <c r="N449" s="17"/>
    </row>
    <row r="450" spans="1:14" ht="10.5" hidden="1">
      <c r="A450" s="14" t="s">
        <v>221</v>
      </c>
      <c r="B450" s="18" t="str">
        <f>ПОЛУЧШИФР(Ресурсы!A49,1)</f>
        <v>С-9.</v>
      </c>
      <c r="C450" s="14">
        <f>Ресурсы!B49</f>
        <v>0</v>
      </c>
      <c r="D450" s="49" t="s">
        <v>640</v>
      </c>
      <c r="E450" s="1">
        <v>1</v>
      </c>
      <c r="F450" s="1">
        <f>ОКРУГЛВСЕ(IF(E450="",0,E450)*IF(F448="",0,F448),11)</f>
        <v>2</v>
      </c>
      <c r="G450" s="17">
        <f>ROUND(Ресурсы!D49*Начисления!AV24,2)</f>
        <v>3700</v>
      </c>
      <c r="H450" s="17">
        <f>ROUND(IF(F450="",0,F450)*IF(G450="",0,G450),2)</f>
        <v>7400</v>
      </c>
      <c r="I450" s="1" t="s">
        <v>38</v>
      </c>
      <c r="J450" s="1" t="s">
        <v>86</v>
      </c>
      <c r="M450" s="17">
        <f>ROUND(Ресурсы!C49*Начисления!AV24,2)</f>
        <v>0</v>
      </c>
      <c r="N450" s="17">
        <f>ROUND(IF(F450="",0,F450)*IF(M450="",0,M450),2)</f>
        <v>0</v>
      </c>
    </row>
    <row r="451" spans="3:4" ht="10.5" hidden="1">
      <c r="C451" s="21" t="s">
        <v>42</v>
      </c>
      <c r="D451" s="49" t="s">
        <v>640</v>
      </c>
    </row>
    <row r="452" spans="3:4" ht="10.5" hidden="1">
      <c r="C452" s="21" t="s">
        <v>43</v>
      </c>
      <c r="D452" s="49" t="s">
        <v>640</v>
      </c>
    </row>
    <row r="453" spans="3:4" ht="10.5" hidden="1">
      <c r="C453" s="21" t="s">
        <v>44</v>
      </c>
      <c r="D453" s="49" t="s">
        <v>640</v>
      </c>
    </row>
    <row r="454" spans="3:8" ht="10.5" hidden="1">
      <c r="C454" s="21" t="s">
        <v>45</v>
      </c>
      <c r="D454" s="49" t="s">
        <v>640</v>
      </c>
      <c r="H454" s="1">
        <v>7400</v>
      </c>
    </row>
    <row r="455" spans="3:4" ht="10.5" hidden="1">
      <c r="C455" s="21" t="s">
        <v>46</v>
      </c>
      <c r="D455" s="49" t="s">
        <v>640</v>
      </c>
    </row>
    <row r="456" spans="3:13" ht="21" hidden="1">
      <c r="C456" s="21" t="s">
        <v>47</v>
      </c>
      <c r="D456" s="49" t="s">
        <v>640</v>
      </c>
      <c r="G456" s="22"/>
      <c r="I456" s="1" t="s">
        <v>48</v>
      </c>
      <c r="M456" s="22"/>
    </row>
    <row r="457" spans="3:4" ht="10.5" hidden="1">
      <c r="C457" s="21" t="s">
        <v>49</v>
      </c>
      <c r="D457" s="49" t="s">
        <v>640</v>
      </c>
    </row>
    <row r="458" spans="3:4" ht="10.5" hidden="1">
      <c r="C458" s="21" t="s">
        <v>50</v>
      </c>
      <c r="D458" s="49" t="s">
        <v>640</v>
      </c>
    </row>
    <row r="459" spans="3:4" ht="10.5" hidden="1">
      <c r="C459" s="21" t="s">
        <v>51</v>
      </c>
      <c r="D459" s="49" t="s">
        <v>640</v>
      </c>
    </row>
    <row r="460" spans="3:14" ht="10.5" hidden="1">
      <c r="C460" s="21" t="s">
        <v>52</v>
      </c>
      <c r="D460" s="49" t="s">
        <v>640</v>
      </c>
      <c r="H460" s="23">
        <f>IF('Текущие цены с учетом расхода'!N24&gt;0,'Текущие цены с учетом расхода'!N24,IF('Текущие цены с учетом расхода'!N24&lt;0,'Текущие цены с учетом расхода'!N24,""))</f>
      </c>
      <c r="J460" s="14" t="s">
        <v>53</v>
      </c>
      <c r="N460" s="23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</c>
    </row>
    <row r="461" spans="3:14" ht="10.5" hidden="1">
      <c r="C461" s="21" t="s">
        <v>54</v>
      </c>
      <c r="D461" s="49" t="s">
        <v>640</v>
      </c>
      <c r="H461" s="23">
        <f>IF('Текущие цены с учетом расхода'!P24&gt;0,'Текущие цены с учетом расхода'!P24,IF('Текущие цены с учетом расхода'!P24&lt;0,'Текущие цены с учетом расхода'!P24,""))</f>
      </c>
      <c r="J461" s="14" t="s">
        <v>55</v>
      </c>
      <c r="N461" s="23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</c>
    </row>
    <row r="462" spans="3:14" ht="10.5" hidden="1">
      <c r="C462" s="21" t="s">
        <v>56</v>
      </c>
      <c r="D462" s="49" t="s">
        <v>640</v>
      </c>
      <c r="H462" s="23">
        <f>IF('Текущие цены с учетом расхода'!Q24&gt;0,'Текущие цены с учетом расхода'!Q24,IF('Текущие цены с учетом расхода'!Q24&lt;0,'Текущие цены с учетом расхода'!Q24,""))</f>
      </c>
      <c r="J462" s="14" t="s">
        <v>57</v>
      </c>
      <c r="N462" s="23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</c>
    </row>
    <row r="463" spans="3:14" ht="10.5" hidden="1">
      <c r="C463" s="21" t="s">
        <v>58</v>
      </c>
      <c r="D463" s="49" t="s">
        <v>640</v>
      </c>
      <c r="H463" s="23">
        <f>IF('Текущие цены с учетом расхода'!O24&gt;0,'Текущие цены с учетом расхода'!O24,IF('Текущие цены с учетом расхода'!O24&lt;0,'Текущие цены с учетом расхода'!O24,""))</f>
      </c>
      <c r="J463" s="14" t="s">
        <v>59</v>
      </c>
      <c r="N463" s="23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</c>
    </row>
    <row r="464" spans="3:14" ht="10.5" hidden="1">
      <c r="C464" s="21" t="s">
        <v>60</v>
      </c>
      <c r="D464" s="49" t="s">
        <v>640</v>
      </c>
      <c r="H464" s="23">
        <f>IF('Текущие цены с учетом расхода'!R24&gt;0,'Текущие цены с учетом расхода'!R24,IF('Текущие цены с учетом расхода'!R24&lt;0,'Текущие цены с учетом расхода'!R24,""))</f>
      </c>
      <c r="J464" s="14" t="s">
        <v>61</v>
      </c>
      <c r="N464" s="23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</c>
    </row>
    <row r="465" spans="3:14" ht="10.5" hidden="1">
      <c r="C465" s="21" t="s">
        <v>62</v>
      </c>
      <c r="D465" s="49" t="s">
        <v>640</v>
      </c>
      <c r="H465" s="23">
        <f>IF('Текущие цены с учетом расхода'!S24&gt;0,'Текущие цены с учетом расхода'!S24,IF('Текущие цены с учетом расхода'!S24&lt;0,'Текущие цены с учетом расхода'!S24,""))</f>
      </c>
      <c r="J465" s="14" t="s">
        <v>63</v>
      </c>
      <c r="N465" s="23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</row>
    <row r="466" spans="1:14" ht="10.5">
      <c r="A466" s="24" t="s">
        <v>222</v>
      </c>
      <c r="B466" s="24" t="s">
        <v>223</v>
      </c>
      <c r="C466" s="48" t="s">
        <v>136</v>
      </c>
      <c r="D466" s="49" t="s">
        <v>640</v>
      </c>
      <c r="E466" s="26"/>
      <c r="F466" s="27">
        <v>1</v>
      </c>
      <c r="G466" s="28">
        <f>ROUND(СУММПРОИЗВЕСЛИ(1,I466:I468,"s",E466:E468,G466:G468,0),2)</f>
        <v>3500</v>
      </c>
      <c r="H466" s="28">
        <f>ROUND(СУММПРОИЗВЕСЛИ(F466,I466:I468,"s",E466:E468,G466:G468,0),2)</f>
        <v>3500</v>
      </c>
      <c r="I466" s="1" t="s">
        <v>30</v>
      </c>
      <c r="M466" s="13">
        <f>ROUND(СУММПРОИЗВЕСЛИ(1,I466:I468,"s",E466:E468,M466:M468,0),2)</f>
        <v>0</v>
      </c>
      <c r="N466" s="13">
        <f>ROUND(СУММПРОИЗВЕСЛИ(F466,I466:I468,"s",E466:E468,M466:M468,0),2)</f>
        <v>0</v>
      </c>
    </row>
    <row r="467" spans="1:14" ht="10.5" hidden="1">
      <c r="A467" s="14" t="s">
        <v>224</v>
      </c>
      <c r="B467" s="14" t="s">
        <v>32</v>
      </c>
      <c r="C467" s="14" t="s">
        <v>33</v>
      </c>
      <c r="D467" s="15" t="s">
        <v>70</v>
      </c>
      <c r="E467" s="1">
        <v>0</v>
      </c>
      <c r="F467" s="1">
        <v>0</v>
      </c>
      <c r="G467" s="16">
        <f>IF(F467=0,0,ROUND(H467/F467,3))</f>
        <v>0</v>
      </c>
      <c r="H467" s="17"/>
      <c r="J467" s="1" t="s">
        <v>35</v>
      </c>
      <c r="M467" s="16">
        <f>IF(F467=0,0,ROUND(N467/F467,3))</f>
        <v>0</v>
      </c>
      <c r="N467" s="17"/>
    </row>
    <row r="468" spans="1:14" ht="10.5" hidden="1">
      <c r="A468" s="14" t="s">
        <v>225</v>
      </c>
      <c r="B468" s="18" t="str">
        <f>ПОЛУЧШИФР(Ресурсы!A41,1)</f>
        <v>С-10.</v>
      </c>
      <c r="C468" s="14">
        <f>Ресурсы!B41</f>
        <v>0</v>
      </c>
      <c r="D468" s="15"/>
      <c r="E468" s="1">
        <v>1</v>
      </c>
      <c r="F468" s="1">
        <f>ОКРУГЛВСЕ(IF(E468="",0,E468)*IF(F466="",0,F466),11)</f>
        <v>1</v>
      </c>
      <c r="G468" s="17">
        <f>ROUND(Ресурсы!D41*Начисления!AV25,2)</f>
        <v>3500</v>
      </c>
      <c r="H468" s="17">
        <f>ROUND(IF(F468="",0,F468)*IF(G468="",0,G468),2)</f>
        <v>3500</v>
      </c>
      <c r="I468" s="1" t="s">
        <v>38</v>
      </c>
      <c r="J468" s="1" t="s">
        <v>86</v>
      </c>
      <c r="M468" s="17">
        <f>ROUND(Ресурсы!C41*Начисления!AV25,2)</f>
        <v>0</v>
      </c>
      <c r="N468" s="17">
        <f>ROUND(IF(F468="",0,F468)*IF(M468="",0,M468),2)</f>
        <v>0</v>
      </c>
    </row>
    <row r="469" ht="10.5" hidden="1">
      <c r="C469" s="21" t="s">
        <v>42</v>
      </c>
    </row>
    <row r="470" ht="10.5" hidden="1">
      <c r="C470" s="21" t="s">
        <v>43</v>
      </c>
    </row>
    <row r="471" ht="10.5" hidden="1">
      <c r="C471" s="21" t="s">
        <v>44</v>
      </c>
    </row>
    <row r="472" spans="3:8" ht="10.5" hidden="1">
      <c r="C472" s="21" t="s">
        <v>45</v>
      </c>
      <c r="H472" s="1">
        <v>3500</v>
      </c>
    </row>
    <row r="473" ht="10.5" hidden="1">
      <c r="C473" s="21" t="s">
        <v>46</v>
      </c>
    </row>
    <row r="474" spans="3:13" ht="21" hidden="1">
      <c r="C474" s="21" t="s">
        <v>47</v>
      </c>
      <c r="G474" s="22"/>
      <c r="I474" s="1" t="s">
        <v>48</v>
      </c>
      <c r="M474" s="22"/>
    </row>
    <row r="475" ht="10.5" hidden="1">
      <c r="C475" s="21" t="s">
        <v>49</v>
      </c>
    </row>
    <row r="476" ht="10.5" hidden="1">
      <c r="C476" s="21" t="s">
        <v>50</v>
      </c>
    </row>
    <row r="477" ht="10.5" hidden="1">
      <c r="C477" s="21" t="s">
        <v>51</v>
      </c>
    </row>
    <row r="478" spans="3:14" ht="10.5" hidden="1">
      <c r="C478" s="21" t="s">
        <v>52</v>
      </c>
      <c r="H478" s="23">
        <f>IF('Текущие цены с учетом расхода'!N25&gt;0,'Текущие цены с учетом расхода'!N25,IF('Текущие цены с учетом расхода'!N25&lt;0,'Текущие цены с учетом расхода'!N25,""))</f>
      </c>
      <c r="J478" s="14" t="s">
        <v>53</v>
      </c>
      <c r="N478" s="23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</row>
    <row r="479" spans="3:14" ht="10.5" hidden="1">
      <c r="C479" s="21" t="s">
        <v>54</v>
      </c>
      <c r="H479" s="23">
        <f>IF('Текущие цены с учетом расхода'!P25&gt;0,'Текущие цены с учетом расхода'!P25,IF('Текущие цены с учетом расхода'!P25&lt;0,'Текущие цены с учетом расхода'!P25,""))</f>
      </c>
      <c r="J479" s="14" t="s">
        <v>55</v>
      </c>
      <c r="N479" s="23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</c>
    </row>
    <row r="480" spans="3:14" ht="10.5" hidden="1">
      <c r="C480" s="21" t="s">
        <v>56</v>
      </c>
      <c r="H480" s="23">
        <f>IF('Текущие цены с учетом расхода'!Q25&gt;0,'Текущие цены с учетом расхода'!Q25,IF('Текущие цены с учетом расхода'!Q25&lt;0,'Текущие цены с учетом расхода'!Q25,""))</f>
      </c>
      <c r="J480" s="14" t="s">
        <v>57</v>
      </c>
      <c r="N480" s="23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</row>
    <row r="481" spans="3:14" ht="10.5" hidden="1">
      <c r="C481" s="21" t="s">
        <v>58</v>
      </c>
      <c r="H481" s="23">
        <f>IF('Текущие цены с учетом расхода'!O25&gt;0,'Текущие цены с учетом расхода'!O25,IF('Текущие цены с учетом расхода'!O25&lt;0,'Текущие цены с учетом расхода'!O25,""))</f>
      </c>
      <c r="J481" s="14" t="s">
        <v>59</v>
      </c>
      <c r="N481" s="23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</row>
    <row r="482" spans="3:14" ht="10.5" hidden="1">
      <c r="C482" s="21" t="s">
        <v>60</v>
      </c>
      <c r="H482" s="23">
        <f>IF('Текущие цены с учетом расхода'!R25&gt;0,'Текущие цены с учетом расхода'!R25,IF('Текущие цены с учетом расхода'!R25&lt;0,'Текущие цены с учетом расхода'!R25,""))</f>
      </c>
      <c r="J482" s="14" t="s">
        <v>61</v>
      </c>
      <c r="N482" s="23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</c>
    </row>
    <row r="483" spans="3:14" ht="10.5" hidden="1">
      <c r="C483" s="21" t="s">
        <v>62</v>
      </c>
      <c r="H483" s="23">
        <f>IF('Текущие цены с учетом расхода'!S25&gt;0,'Текущие цены с учетом расхода'!S25,IF('Текущие цены с учетом расхода'!S25&lt;0,'Текущие цены с учетом расхода'!S25,""))</f>
      </c>
      <c r="J483" s="14" t="s">
        <v>63</v>
      </c>
      <c r="N483" s="23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</row>
    <row r="484" spans="1:8" ht="10.5">
      <c r="A484" s="26"/>
      <c r="B484" s="26"/>
      <c r="C484" s="26"/>
      <c r="D484" s="26"/>
      <c r="E484" s="26"/>
      <c r="F484" s="26"/>
      <c r="G484" s="26"/>
      <c r="H484" s="26"/>
    </row>
    <row r="485" spans="2:14" ht="10.5">
      <c r="B485" s="7" t="s">
        <v>226</v>
      </c>
      <c r="G485" s="12"/>
      <c r="H485" s="30">
        <f>'Текущие концовки'!F7</f>
        <v>160207.11</v>
      </c>
      <c r="M485" s="12"/>
      <c r="N485" s="30">
        <f>'Базовые концовки'!F7</f>
        <v>0</v>
      </c>
    </row>
    <row r="486" spans="2:14" ht="10.5" hidden="1">
      <c r="B486" s="7" t="s">
        <v>227</v>
      </c>
      <c r="H486" s="30">
        <f>'Текущие концовки'!F8</f>
        <v>0</v>
      </c>
      <c r="N486" s="30">
        <f>'Базовые концовки'!F8</f>
        <v>0</v>
      </c>
    </row>
    <row r="487" spans="2:14" ht="10.5" hidden="1">
      <c r="B487" s="7" t="s">
        <v>228</v>
      </c>
      <c r="H487" s="30">
        <f>'Текущие концовки'!F9</f>
        <v>0</v>
      </c>
      <c r="N487" s="30">
        <f>'Базовые концовки'!F9</f>
        <v>0</v>
      </c>
    </row>
    <row r="488" spans="2:14" ht="10.5" hidden="1">
      <c r="B488" s="7" t="s">
        <v>229</v>
      </c>
      <c r="H488" s="30">
        <f>'Текущие концовки'!F10</f>
        <v>0</v>
      </c>
      <c r="N488" s="30">
        <f>'Базовые концовки'!F10</f>
        <v>0</v>
      </c>
    </row>
    <row r="489" spans="2:14" ht="10.5" hidden="1">
      <c r="B489" s="7" t="s">
        <v>230</v>
      </c>
      <c r="H489" s="30">
        <f>'Текущие концовки'!F11</f>
        <v>0</v>
      </c>
      <c r="N489" s="30">
        <f>'Базовые концовки'!F11</f>
        <v>0</v>
      </c>
    </row>
    <row r="490" spans="2:14" ht="10.5" hidden="1">
      <c r="B490" s="7" t="s">
        <v>231</v>
      </c>
      <c r="H490" s="30">
        <f>'Текущие концовки'!F12</f>
        <v>0</v>
      </c>
      <c r="N490" s="30">
        <f>'Базовые концовки'!F12</f>
        <v>0</v>
      </c>
    </row>
    <row r="491" spans="2:14" ht="10.5" hidden="1">
      <c r="B491" s="7" t="s">
        <v>232</v>
      </c>
      <c r="H491" s="30">
        <f>'Текущие концовки'!F13</f>
        <v>0</v>
      </c>
      <c r="N491" s="30">
        <f>'Базовые концовки'!F13</f>
        <v>0</v>
      </c>
    </row>
    <row r="492" spans="2:14" ht="10.5" hidden="1">
      <c r="B492" s="7" t="s">
        <v>233</v>
      </c>
      <c r="H492" s="30">
        <f>'Текущие концовки'!F14</f>
        <v>0</v>
      </c>
      <c r="N492" s="30">
        <f>'Базовые концовки'!F14</f>
        <v>0</v>
      </c>
    </row>
    <row r="493" spans="2:14" ht="10.5" hidden="1">
      <c r="B493" s="7" t="s">
        <v>234</v>
      </c>
      <c r="H493" s="30">
        <f>'Текущие концовки'!F15</f>
        <v>0</v>
      </c>
      <c r="N493" s="30">
        <f>'Базовые концовки'!F15</f>
        <v>0</v>
      </c>
    </row>
    <row r="494" spans="2:14" ht="10.5" hidden="1">
      <c r="B494" s="7" t="s">
        <v>235</v>
      </c>
      <c r="H494" s="30">
        <f>'Текущие концовки'!F16</f>
        <v>0</v>
      </c>
      <c r="N494" s="30">
        <f>'Базовые концовки'!F16</f>
        <v>0</v>
      </c>
    </row>
    <row r="495" spans="2:14" ht="10.5" hidden="1">
      <c r="B495" s="7" t="s">
        <v>236</v>
      </c>
      <c r="H495" s="30">
        <f>'Текущие концовки'!F17</f>
        <v>0</v>
      </c>
      <c r="N495" s="30">
        <f>'Базовые концовки'!F17</f>
        <v>0</v>
      </c>
    </row>
    <row r="496" spans="2:14" ht="10.5" hidden="1">
      <c r="B496" s="7" t="s">
        <v>237</v>
      </c>
      <c r="H496" s="30">
        <f>'Текущие концовки'!F18</f>
        <v>0</v>
      </c>
      <c r="N496" s="30">
        <f>'Базовые концовки'!F18</f>
        <v>0</v>
      </c>
    </row>
    <row r="497" spans="2:14" ht="10.5" hidden="1">
      <c r="B497" s="7" t="s">
        <v>238</v>
      </c>
      <c r="H497" s="31"/>
      <c r="N497" s="31"/>
    </row>
    <row r="498" spans="2:14" ht="10.5" hidden="1">
      <c r="B498" s="7" t="s">
        <v>239</v>
      </c>
      <c r="H498" s="30">
        <f>'Текущие концовки'!G20</f>
        <v>0</v>
      </c>
      <c r="N498" s="30">
        <f>'Базовые концовки'!G20</f>
        <v>0</v>
      </c>
    </row>
    <row r="499" spans="2:14" ht="10.5" hidden="1">
      <c r="B499" s="7" t="s">
        <v>240</v>
      </c>
      <c r="H499" s="30">
        <f>'Текущие концовки'!F21</f>
        <v>0</v>
      </c>
      <c r="N499" s="30">
        <f>'Базовые концовки'!F21</f>
        <v>0</v>
      </c>
    </row>
    <row r="500" spans="2:14" ht="10.5" hidden="1">
      <c r="B500" s="7" t="s">
        <v>241</v>
      </c>
      <c r="H500" s="30">
        <f>'Текущие концовки'!F22</f>
        <v>0</v>
      </c>
      <c r="N500" s="30">
        <f>'Базовые концовки'!F22</f>
        <v>0</v>
      </c>
    </row>
    <row r="501" spans="2:14" ht="10.5" hidden="1">
      <c r="B501" s="7" t="s">
        <v>242</v>
      </c>
      <c r="H501" s="30">
        <f>'Текущие концовки'!F23</f>
        <v>0</v>
      </c>
      <c r="N501" s="30">
        <f>'Базовые концовки'!F23</f>
        <v>0</v>
      </c>
    </row>
    <row r="502" spans="2:14" ht="10.5" hidden="1">
      <c r="B502" s="7" t="s">
        <v>243</v>
      </c>
      <c r="H502" s="30">
        <f>'Текущие концовки'!F24</f>
        <v>0</v>
      </c>
      <c r="N502" s="30">
        <f>'Базовые концовки'!F24</f>
        <v>0</v>
      </c>
    </row>
    <row r="503" spans="2:14" ht="10.5" hidden="1">
      <c r="B503" s="7" t="s">
        <v>244</v>
      </c>
      <c r="H503" s="30">
        <f>'Текущие концовки'!F25</f>
        <v>0</v>
      </c>
      <c r="N503" s="30">
        <f>'Базовые концовки'!F25</f>
        <v>0</v>
      </c>
    </row>
    <row r="504" spans="2:14" ht="10.5" hidden="1">
      <c r="B504" s="7" t="s">
        <v>245</v>
      </c>
      <c r="H504" s="30">
        <f>'Текущие концовки'!F26</f>
        <v>0</v>
      </c>
      <c r="N504" s="30">
        <f>'Базовые концовки'!F26</f>
        <v>0</v>
      </c>
    </row>
    <row r="505" spans="2:14" ht="10.5" hidden="1">
      <c r="B505" s="7" t="s">
        <v>235</v>
      </c>
      <c r="H505" s="30">
        <f>'Текущие концовки'!F27</f>
        <v>0</v>
      </c>
      <c r="N505" s="30">
        <f>'Базовые концовки'!F27</f>
        <v>0</v>
      </c>
    </row>
    <row r="506" spans="2:14" ht="10.5" hidden="1">
      <c r="B506" s="7" t="s">
        <v>246</v>
      </c>
      <c r="H506" s="30">
        <f>'Текущие концовки'!F28</f>
        <v>0</v>
      </c>
      <c r="N506" s="30">
        <f>'Базовые концовки'!F28</f>
        <v>0</v>
      </c>
    </row>
    <row r="507" spans="2:14" ht="10.5" hidden="1">
      <c r="B507" s="7" t="s">
        <v>247</v>
      </c>
      <c r="H507" s="30">
        <f>'Текущие концовки'!F29</f>
        <v>0</v>
      </c>
      <c r="N507" s="30">
        <f>'Базовые концовки'!F29</f>
        <v>0</v>
      </c>
    </row>
    <row r="508" spans="2:14" ht="10.5">
      <c r="B508" s="7" t="s">
        <v>248</v>
      </c>
      <c r="G508" s="12"/>
      <c r="H508" s="30">
        <f>'Текущие концовки'!F30</f>
        <v>157715.8</v>
      </c>
      <c r="M508" s="12"/>
      <c r="N508" s="30">
        <f>'Базовые концовки'!F30</f>
        <v>0</v>
      </c>
    </row>
    <row r="509" spans="2:14" ht="10.5" hidden="1">
      <c r="B509" s="7" t="s">
        <v>238</v>
      </c>
      <c r="H509" s="31"/>
      <c r="N509" s="31"/>
    </row>
    <row r="510" spans="2:14" ht="10.5" hidden="1">
      <c r="B510" s="7" t="s">
        <v>249</v>
      </c>
      <c r="H510" s="30">
        <f>'Текущие концовки'!F32</f>
        <v>0</v>
      </c>
      <c r="N510" s="30">
        <f>'Базовые концовки'!F32</f>
        <v>0</v>
      </c>
    </row>
    <row r="511" spans="2:14" ht="10.5" hidden="1">
      <c r="B511" s="7" t="s">
        <v>242</v>
      </c>
      <c r="H511" s="30">
        <f>'Текущие концовки'!F33</f>
        <v>0</v>
      </c>
      <c r="N511" s="30">
        <f>'Базовые концовки'!F33</f>
        <v>0</v>
      </c>
    </row>
    <row r="512" spans="2:14" ht="10.5">
      <c r="B512" s="7" t="s">
        <v>250</v>
      </c>
      <c r="G512" s="12"/>
      <c r="H512" s="30">
        <f>'Текущие концовки'!F34</f>
        <v>53982.79</v>
      </c>
      <c r="N512" s="30">
        <f>'Базовые концовки'!F34</f>
        <v>0</v>
      </c>
    </row>
    <row r="513" spans="2:14" ht="10.5">
      <c r="B513" s="7" t="s">
        <v>244</v>
      </c>
      <c r="G513" s="12">
        <v>0.94</v>
      </c>
      <c r="H513" s="30">
        <f>'Текущие концовки'!F35</f>
        <v>50743.82</v>
      </c>
      <c r="N513" s="30">
        <f>'Базовые концовки'!F35</f>
        <v>0</v>
      </c>
    </row>
    <row r="514" spans="2:14" ht="10.5">
      <c r="B514" s="7" t="s">
        <v>251</v>
      </c>
      <c r="G514" s="12"/>
      <c r="H514" s="30">
        <f>'Текущие концовки'!F36</f>
        <v>31601.72</v>
      </c>
      <c r="N514" s="30">
        <f>'Базовые концовки'!F36</f>
        <v>0</v>
      </c>
    </row>
    <row r="515" spans="2:14" ht="10.5" hidden="1">
      <c r="B515" s="7" t="s">
        <v>252</v>
      </c>
      <c r="G515" s="12"/>
      <c r="H515" s="30">
        <f>'Текущие концовки'!F37</f>
        <v>243300.31</v>
      </c>
      <c r="N515" s="30">
        <f>'Базовые концовки'!F37</f>
        <v>0</v>
      </c>
    </row>
    <row r="516" spans="2:14" ht="10.5">
      <c r="B516" s="7" t="s">
        <v>253</v>
      </c>
      <c r="G516" s="12"/>
      <c r="H516" s="30">
        <f>'Текущие концовки'!F38</f>
        <v>240061.34</v>
      </c>
      <c r="N516" s="30">
        <f>'Базовые концовки'!F38</f>
        <v>0</v>
      </c>
    </row>
    <row r="517" spans="2:14" ht="10.5" hidden="1">
      <c r="B517" s="7" t="s">
        <v>254</v>
      </c>
      <c r="H517" s="30">
        <f>'Текущие концовки'!F39</f>
        <v>0</v>
      </c>
      <c r="N517" s="30">
        <f>'Базовые концовки'!F39</f>
        <v>0</v>
      </c>
    </row>
    <row r="518" spans="2:14" ht="10.5" hidden="1">
      <c r="B518" s="7" t="s">
        <v>242</v>
      </c>
      <c r="H518" s="30">
        <f>'Текущие концовки'!F40</f>
        <v>0</v>
      </c>
      <c r="N518" s="30">
        <f>'Базовые концовки'!F40</f>
        <v>0</v>
      </c>
    </row>
    <row r="519" spans="2:14" ht="10.5" hidden="1">
      <c r="B519" s="7" t="s">
        <v>243</v>
      </c>
      <c r="H519" s="30">
        <f>'Текущие концовки'!F41</f>
        <v>0</v>
      </c>
      <c r="N519" s="30">
        <f>'Базовые концовки'!F41</f>
        <v>0</v>
      </c>
    </row>
    <row r="520" spans="2:14" ht="10.5" hidden="1">
      <c r="B520" s="7" t="s">
        <v>244</v>
      </c>
      <c r="H520" s="30">
        <f>'Текущие концовки'!F42</f>
        <v>0</v>
      </c>
      <c r="N520" s="30">
        <f>'Базовые концовки'!F42</f>
        <v>0</v>
      </c>
    </row>
    <row r="521" spans="2:14" ht="10.5" hidden="1">
      <c r="B521" s="7" t="s">
        <v>245</v>
      </c>
      <c r="H521" s="30">
        <f>'Текущие концовки'!F43</f>
        <v>0</v>
      </c>
      <c r="N521" s="30">
        <f>'Базовые концовки'!F43</f>
        <v>0</v>
      </c>
    </row>
    <row r="522" spans="2:14" ht="10.5" hidden="1">
      <c r="B522" s="7" t="s">
        <v>255</v>
      </c>
      <c r="H522" s="30">
        <f>'Текущие концовки'!F44</f>
        <v>0</v>
      </c>
      <c r="N522" s="30">
        <f>'Базовые концовки'!F44</f>
        <v>0</v>
      </c>
    </row>
    <row r="523" spans="2:14" ht="10.5" hidden="1">
      <c r="B523" s="7" t="s">
        <v>256</v>
      </c>
      <c r="H523" s="30">
        <f>'Текущие концовки'!F45</f>
        <v>0</v>
      </c>
      <c r="N523" s="30">
        <f>'Базовые концовки'!F45</f>
        <v>0</v>
      </c>
    </row>
    <row r="524" spans="2:14" ht="10.5">
      <c r="B524" s="7" t="s">
        <v>257</v>
      </c>
      <c r="G524" s="12"/>
      <c r="H524" s="30">
        <f>'Текущие концовки'!F46</f>
        <v>2491.31</v>
      </c>
      <c r="M524" s="12"/>
      <c r="N524" s="30">
        <f>'Базовые концовки'!F46</f>
        <v>0</v>
      </c>
    </row>
    <row r="525" spans="2:14" ht="10.5" hidden="1">
      <c r="B525" s="7" t="s">
        <v>238</v>
      </c>
      <c r="H525" s="31"/>
      <c r="N525" s="31"/>
    </row>
    <row r="526" spans="2:14" ht="10.5" hidden="1">
      <c r="B526" s="7" t="s">
        <v>258</v>
      </c>
      <c r="H526" s="30">
        <f>'Текущие концовки'!F48</f>
        <v>0</v>
      </c>
      <c r="N526" s="30">
        <f>'Базовые концовки'!F48</f>
        <v>0</v>
      </c>
    </row>
    <row r="527" spans="2:14" ht="10.5" hidden="1">
      <c r="B527" s="7" t="s">
        <v>242</v>
      </c>
      <c r="H527" s="30">
        <f>'Текущие концовки'!F49</f>
        <v>0</v>
      </c>
      <c r="N527" s="30">
        <f>'Базовые концовки'!F49</f>
        <v>0</v>
      </c>
    </row>
    <row r="528" spans="2:14" ht="10.5">
      <c r="B528" s="7" t="s">
        <v>259</v>
      </c>
      <c r="G528" s="12"/>
      <c r="H528" s="30">
        <f>'Текущие концовки'!F50</f>
        <v>1738.96</v>
      </c>
      <c r="N528" s="30">
        <f>'Базовые концовки'!F50</f>
        <v>0</v>
      </c>
    </row>
    <row r="529" spans="2:14" ht="10.5">
      <c r="B529" s="7" t="s">
        <v>244</v>
      </c>
      <c r="G529" s="12">
        <v>0.94</v>
      </c>
      <c r="H529" s="30">
        <f>'Текущие концовки'!F51</f>
        <v>1634.62</v>
      </c>
      <c r="N529" s="30">
        <f>'Базовые концовки'!F51</f>
        <v>0</v>
      </c>
    </row>
    <row r="530" spans="2:14" ht="10.5">
      <c r="B530" s="7" t="s">
        <v>260</v>
      </c>
      <c r="G530" s="12"/>
      <c r="H530" s="30">
        <f>'Текущие концовки'!F52</f>
        <v>1064.96</v>
      </c>
      <c r="N530" s="30">
        <f>'Базовые концовки'!F52</f>
        <v>0</v>
      </c>
    </row>
    <row r="531" spans="2:14" ht="10.5" hidden="1">
      <c r="B531" s="7" t="s">
        <v>235</v>
      </c>
      <c r="H531" s="30">
        <f>'Текущие концовки'!F53</f>
        <v>0</v>
      </c>
      <c r="N531" s="30">
        <f>'Базовые концовки'!F53</f>
        <v>0</v>
      </c>
    </row>
    <row r="532" spans="2:14" ht="10.5" hidden="1">
      <c r="B532" s="7" t="s">
        <v>261</v>
      </c>
      <c r="G532" s="12"/>
      <c r="H532" s="30">
        <f>'Текущие концовки'!F54</f>
        <v>5295.23</v>
      </c>
      <c r="N532" s="30">
        <f>'Базовые концовки'!F54</f>
        <v>0</v>
      </c>
    </row>
    <row r="533" spans="2:14" ht="10.5">
      <c r="B533" s="7" t="s">
        <v>262</v>
      </c>
      <c r="G533" s="12"/>
      <c r="H533" s="30">
        <f>'Текущие концовки'!F55</f>
        <v>5190.89</v>
      </c>
      <c r="N533" s="30">
        <f>'Базовые концовки'!F55</f>
        <v>0</v>
      </c>
    </row>
    <row r="534" spans="2:14" ht="10.5" hidden="1">
      <c r="B534" s="7" t="s">
        <v>263</v>
      </c>
      <c r="H534" s="30">
        <f>'Текущие концовки'!F56</f>
        <v>0</v>
      </c>
      <c r="N534" s="30">
        <f>'Базовые концовки'!F56</f>
        <v>0</v>
      </c>
    </row>
    <row r="535" spans="2:14" ht="10.5" hidden="1">
      <c r="B535" s="7" t="s">
        <v>242</v>
      </c>
      <c r="H535" s="30">
        <f>'Текущие концовки'!F57</f>
        <v>0</v>
      </c>
      <c r="N535" s="30">
        <f>'Базовые концовки'!F57</f>
        <v>0</v>
      </c>
    </row>
    <row r="536" spans="2:14" ht="10.5" hidden="1">
      <c r="B536" s="7" t="s">
        <v>243</v>
      </c>
      <c r="H536" s="30">
        <f>'Текущие концовки'!F58</f>
        <v>0</v>
      </c>
      <c r="N536" s="30">
        <f>'Базовые концовки'!F58</f>
        <v>0</v>
      </c>
    </row>
    <row r="537" spans="2:14" ht="10.5" hidden="1">
      <c r="B537" s="7" t="s">
        <v>244</v>
      </c>
      <c r="H537" s="30">
        <f>'Текущие концовки'!F59</f>
        <v>0</v>
      </c>
      <c r="N537" s="30">
        <f>'Базовые концовки'!F59</f>
        <v>0</v>
      </c>
    </row>
    <row r="538" spans="2:14" ht="10.5" hidden="1">
      <c r="B538" s="7" t="s">
        <v>245</v>
      </c>
      <c r="H538" s="30">
        <f>'Текущие концовки'!F60</f>
        <v>0</v>
      </c>
      <c r="N538" s="30">
        <f>'Базовые концовки'!F60</f>
        <v>0</v>
      </c>
    </row>
    <row r="539" spans="2:14" ht="10.5" hidden="1">
      <c r="B539" s="7" t="s">
        <v>264</v>
      </c>
      <c r="H539" s="30">
        <f>'Текущие концовки'!F61</f>
        <v>0</v>
      </c>
      <c r="N539" s="30">
        <f>'Базовые концовки'!F61</f>
        <v>0</v>
      </c>
    </row>
    <row r="540" spans="2:14" ht="10.5" hidden="1">
      <c r="B540" s="7" t="s">
        <v>265</v>
      </c>
      <c r="H540" s="30">
        <f>'Текущие концовки'!F62</f>
        <v>0</v>
      </c>
      <c r="N540" s="30">
        <f>'Базовые концовки'!F62</f>
        <v>0</v>
      </c>
    </row>
    <row r="541" spans="2:14" ht="10.5" hidden="1">
      <c r="B541" s="7" t="s">
        <v>266</v>
      </c>
      <c r="H541" s="30">
        <f>'Текущие концовки'!F63</f>
        <v>0</v>
      </c>
      <c r="N541" s="30">
        <f>'Базовые концовки'!F63</f>
        <v>0</v>
      </c>
    </row>
    <row r="542" spans="2:14" ht="10.5" hidden="1">
      <c r="B542" s="7" t="s">
        <v>242</v>
      </c>
      <c r="H542" s="30">
        <f>'Текущие концовки'!F64</f>
        <v>0</v>
      </c>
      <c r="N542" s="30">
        <f>'Базовые концовки'!F64</f>
        <v>0</v>
      </c>
    </row>
    <row r="543" spans="2:14" ht="10.5" hidden="1">
      <c r="B543" s="7" t="s">
        <v>243</v>
      </c>
      <c r="H543" s="30">
        <f>'Текущие концовки'!F65</f>
        <v>0</v>
      </c>
      <c r="N543" s="30">
        <f>'Базовые концовки'!F65</f>
        <v>0</v>
      </c>
    </row>
    <row r="544" spans="2:14" ht="10.5" hidden="1">
      <c r="B544" s="7" t="s">
        <v>244</v>
      </c>
      <c r="H544" s="30">
        <f>'Текущие концовки'!F66</f>
        <v>0</v>
      </c>
      <c r="N544" s="30">
        <f>'Базовые концовки'!F66</f>
        <v>0</v>
      </c>
    </row>
    <row r="545" spans="2:14" ht="10.5" hidden="1">
      <c r="B545" s="7" t="s">
        <v>245</v>
      </c>
      <c r="H545" s="30">
        <f>'Текущие концовки'!F67</f>
        <v>0</v>
      </c>
      <c r="N545" s="30">
        <f>'Базовые концовки'!F67</f>
        <v>0</v>
      </c>
    </row>
    <row r="546" spans="2:14" ht="10.5" hidden="1">
      <c r="B546" s="7" t="s">
        <v>267</v>
      </c>
      <c r="H546" s="30">
        <f>'Текущие концовки'!F68</f>
        <v>0</v>
      </c>
      <c r="N546" s="30">
        <f>'Базовые концовки'!F68</f>
        <v>0</v>
      </c>
    </row>
    <row r="547" spans="2:14" ht="10.5" hidden="1">
      <c r="B547" s="7" t="s">
        <v>268</v>
      </c>
      <c r="H547" s="30">
        <f>'Текущие концовки'!F69</f>
        <v>0</v>
      </c>
      <c r="N547" s="30">
        <f>'Базовые концовки'!F69</f>
        <v>0</v>
      </c>
    </row>
    <row r="548" spans="2:14" ht="10.5" hidden="1">
      <c r="B548" s="7" t="s">
        <v>269</v>
      </c>
      <c r="H548" s="30">
        <f>'Текущие концовки'!F70</f>
        <v>0</v>
      </c>
      <c r="N548" s="30">
        <f>'Базовые концовки'!F70</f>
        <v>0</v>
      </c>
    </row>
    <row r="549" spans="2:14" ht="10.5" hidden="1">
      <c r="B549" s="7" t="s">
        <v>238</v>
      </c>
      <c r="H549" s="31"/>
      <c r="N549" s="31"/>
    </row>
    <row r="550" spans="2:14" ht="10.5" hidden="1">
      <c r="B550" s="7" t="s">
        <v>270</v>
      </c>
      <c r="H550" s="30">
        <f>'Текущие концовки'!F72</f>
        <v>0</v>
      </c>
      <c r="N550" s="30">
        <f>'Базовые концовки'!F72</f>
        <v>0</v>
      </c>
    </row>
    <row r="551" spans="2:14" ht="10.5" hidden="1">
      <c r="B551" s="7" t="s">
        <v>242</v>
      </c>
      <c r="H551" s="30">
        <f>'Текущие концовки'!F73</f>
        <v>0</v>
      </c>
      <c r="N551" s="30">
        <f>'Базовые концовки'!F73</f>
        <v>0</v>
      </c>
    </row>
    <row r="552" spans="2:14" ht="10.5" hidden="1">
      <c r="B552" s="7" t="s">
        <v>271</v>
      </c>
      <c r="H552" s="30">
        <f>'Текущие концовки'!F74</f>
        <v>0</v>
      </c>
      <c r="N552" s="30">
        <f>'Базовые концовки'!F74</f>
        <v>0</v>
      </c>
    </row>
    <row r="553" spans="2:14" ht="10.5" hidden="1">
      <c r="B553" s="7" t="s">
        <v>244</v>
      </c>
      <c r="H553" s="30">
        <f>'Текущие концовки'!F75</f>
        <v>0</v>
      </c>
      <c r="N553" s="30">
        <f>'Базовые концовки'!F75</f>
        <v>0</v>
      </c>
    </row>
    <row r="554" spans="2:14" ht="10.5" hidden="1">
      <c r="B554" s="7" t="s">
        <v>245</v>
      </c>
      <c r="H554" s="30">
        <f>'Текущие концовки'!F76</f>
        <v>0</v>
      </c>
      <c r="N554" s="30">
        <f>'Базовые концовки'!F76</f>
        <v>0</v>
      </c>
    </row>
    <row r="555" spans="2:14" ht="10.5" hidden="1">
      <c r="B555" s="7" t="s">
        <v>272</v>
      </c>
      <c r="H555" s="30">
        <f>'Текущие концовки'!F77</f>
        <v>0</v>
      </c>
      <c r="N555" s="30">
        <f>'Базовые концовки'!F77</f>
        <v>0</v>
      </c>
    </row>
    <row r="556" spans="2:14" ht="10.5" hidden="1">
      <c r="B556" s="7" t="s">
        <v>273</v>
      </c>
      <c r="H556" s="30">
        <f>'Текущие концовки'!F78</f>
        <v>0</v>
      </c>
      <c r="N556" s="30">
        <f>'Базовые концовки'!F78</f>
        <v>0</v>
      </c>
    </row>
    <row r="557" spans="2:14" ht="10.5" hidden="1">
      <c r="B557" s="7" t="s">
        <v>274</v>
      </c>
      <c r="H557" s="30">
        <f>'Текущие концовки'!F79</f>
        <v>0</v>
      </c>
      <c r="N557" s="30">
        <f>'Базовые концовки'!F79</f>
        <v>0</v>
      </c>
    </row>
    <row r="558" spans="2:14" ht="10.5" hidden="1">
      <c r="B558" s="7" t="s">
        <v>271</v>
      </c>
      <c r="H558" s="30">
        <f>'Текущие концовки'!F80</f>
        <v>0</v>
      </c>
      <c r="N558" s="30">
        <f>'Базовые концовки'!F80</f>
        <v>0</v>
      </c>
    </row>
    <row r="559" spans="2:14" ht="10.5" hidden="1">
      <c r="B559" s="7" t="s">
        <v>244</v>
      </c>
      <c r="H559" s="30">
        <f>'Текущие концовки'!F81</f>
        <v>0</v>
      </c>
      <c r="N559" s="30">
        <f>'Базовые концовки'!F81</f>
        <v>0</v>
      </c>
    </row>
    <row r="560" spans="2:14" ht="10.5" hidden="1">
      <c r="B560" s="7" t="s">
        <v>245</v>
      </c>
      <c r="H560" s="30">
        <f>'Текущие концовки'!F82</f>
        <v>0</v>
      </c>
      <c r="N560" s="30">
        <f>'Базовые концовки'!F82</f>
        <v>0</v>
      </c>
    </row>
    <row r="561" spans="2:14" ht="10.5" hidden="1">
      <c r="B561" s="7" t="s">
        <v>275</v>
      </c>
      <c r="H561" s="30">
        <f>'Текущие концовки'!F83</f>
        <v>0</v>
      </c>
      <c r="N561" s="30">
        <f>'Базовые концовки'!F83</f>
        <v>0</v>
      </c>
    </row>
    <row r="562" spans="2:14" ht="10.5" hidden="1">
      <c r="B562" s="7" t="s">
        <v>276</v>
      </c>
      <c r="H562" s="30">
        <f>'Текущие концовки'!F84</f>
        <v>0</v>
      </c>
      <c r="N562" s="30">
        <f>'Базовые концовки'!F84</f>
        <v>0</v>
      </c>
    </row>
    <row r="563" spans="2:14" ht="10.5" hidden="1">
      <c r="B563" s="7" t="s">
        <v>277</v>
      </c>
      <c r="H563" s="30">
        <f>'Текущие концовки'!F85</f>
        <v>0</v>
      </c>
      <c r="N563" s="30">
        <f>'Базовые концовки'!F85</f>
        <v>0</v>
      </c>
    </row>
    <row r="564" spans="2:14" ht="10.5" hidden="1">
      <c r="B564" s="7" t="s">
        <v>242</v>
      </c>
      <c r="H564" s="30">
        <f>'Текущие концовки'!F86</f>
        <v>0</v>
      </c>
      <c r="N564" s="30">
        <f>'Базовые концовки'!F86</f>
        <v>0</v>
      </c>
    </row>
    <row r="565" spans="2:14" ht="10.5" hidden="1">
      <c r="B565" s="7" t="s">
        <v>271</v>
      </c>
      <c r="H565" s="30">
        <f>'Текущие концовки'!F87</f>
        <v>0</v>
      </c>
      <c r="N565" s="30">
        <f>'Базовые концовки'!F87</f>
        <v>0</v>
      </c>
    </row>
    <row r="566" spans="2:14" ht="10.5" hidden="1">
      <c r="B566" s="7" t="s">
        <v>244</v>
      </c>
      <c r="H566" s="30">
        <f>'Текущие концовки'!F88</f>
        <v>0</v>
      </c>
      <c r="N566" s="30">
        <f>'Базовые концовки'!F88</f>
        <v>0</v>
      </c>
    </row>
    <row r="567" spans="2:14" ht="10.5" hidden="1">
      <c r="B567" s="7" t="s">
        <v>245</v>
      </c>
      <c r="H567" s="30">
        <f>'Текущие концовки'!F89</f>
        <v>0</v>
      </c>
      <c r="N567" s="30">
        <f>'Базовые концовки'!F89</f>
        <v>0</v>
      </c>
    </row>
    <row r="568" spans="2:14" ht="10.5" hidden="1">
      <c r="B568" s="7" t="s">
        <v>278</v>
      </c>
      <c r="H568" s="30">
        <f>'Текущие концовки'!F90</f>
        <v>0</v>
      </c>
      <c r="N568" s="30">
        <f>'Базовые концовки'!F90</f>
        <v>0</v>
      </c>
    </row>
    <row r="569" spans="2:14" ht="10.5" hidden="1">
      <c r="B569" s="7" t="s">
        <v>279</v>
      </c>
      <c r="H569" s="30">
        <f>'Текущие концовки'!F91</f>
        <v>0</v>
      </c>
      <c r="N569" s="30">
        <f>'Базовые концовки'!F91</f>
        <v>0</v>
      </c>
    </row>
    <row r="570" spans="2:14" ht="10.5" hidden="1">
      <c r="B570" s="7" t="s">
        <v>280</v>
      </c>
      <c r="H570" s="30">
        <f>'Текущие концовки'!F92</f>
        <v>0</v>
      </c>
      <c r="N570" s="30">
        <f>'Базовые концовки'!F92</f>
        <v>0</v>
      </c>
    </row>
    <row r="571" spans="2:14" ht="10.5" hidden="1">
      <c r="B571" s="7" t="s">
        <v>242</v>
      </c>
      <c r="H571" s="30">
        <f>'Текущие концовки'!F93</f>
        <v>0</v>
      </c>
      <c r="N571" s="30">
        <f>'Базовые концовки'!F93</f>
        <v>0</v>
      </c>
    </row>
    <row r="572" spans="2:14" ht="10.5" hidden="1">
      <c r="B572" s="7" t="s">
        <v>281</v>
      </c>
      <c r="G572" s="12"/>
      <c r="H572" s="30">
        <f>'Текущие концовки'!F94</f>
        <v>248595.54</v>
      </c>
      <c r="N572" s="30">
        <f>'Базовые концовки'!F94</f>
        <v>0</v>
      </c>
    </row>
    <row r="573" spans="2:14" ht="10.5">
      <c r="B573" s="7" t="s">
        <v>282</v>
      </c>
      <c r="G573" s="12">
        <v>0.94</v>
      </c>
      <c r="H573" s="30">
        <f>'Текущие концовки'!F95</f>
        <v>52378.45</v>
      </c>
      <c r="N573" s="30">
        <f>'Базовые концовки'!F95</f>
        <v>0</v>
      </c>
    </row>
    <row r="574" spans="2:14" ht="10.5">
      <c r="B574" s="7" t="s">
        <v>283</v>
      </c>
      <c r="G574" s="12"/>
      <c r="H574" s="30">
        <f>'Текущие концовки'!F96</f>
        <v>245252.24</v>
      </c>
      <c r="N574" s="30">
        <f>'Базовые концовки'!F96</f>
        <v>0</v>
      </c>
    </row>
    <row r="575" spans="2:14" ht="10.5">
      <c r="B575" s="70" t="s">
        <v>650</v>
      </c>
      <c r="C575" s="71"/>
      <c r="D575" s="47" t="s">
        <v>615</v>
      </c>
      <c r="G575" s="12">
        <v>10</v>
      </c>
      <c r="H575" s="30">
        <f>ROUND(H574*0.1,2)</f>
        <v>24525.22</v>
      </c>
      <c r="N575" s="30"/>
    </row>
    <row r="576" spans="2:14" ht="10.5">
      <c r="B576" s="50" t="s">
        <v>651</v>
      </c>
      <c r="C576" s="7"/>
      <c r="G576" s="12"/>
      <c r="H576" s="30">
        <f>H574+H575</f>
        <v>269777.45999999996</v>
      </c>
      <c r="N576" s="30"/>
    </row>
    <row r="577" spans="2:14" ht="10.5">
      <c r="B577" s="7" t="s">
        <v>284</v>
      </c>
      <c r="G577" s="12">
        <v>18</v>
      </c>
      <c r="H577" s="30">
        <f>H576*0.18</f>
        <v>48559.94279999999</v>
      </c>
      <c r="N577" s="30">
        <f>'Базовые концовки'!F97</f>
        <v>0</v>
      </c>
    </row>
    <row r="578" spans="2:14" ht="10.5">
      <c r="B578" s="7" t="s">
        <v>285</v>
      </c>
      <c r="G578" s="12"/>
      <c r="H578" s="30">
        <f>H576+H577</f>
        <v>318337.4027999999</v>
      </c>
      <c r="N578" s="30">
        <f>'Базовые концовки'!F98</f>
        <v>0</v>
      </c>
    </row>
    <row r="579" spans="2:14" ht="10.5" hidden="1">
      <c r="B579" s="7" t="s">
        <v>286</v>
      </c>
      <c r="H579" s="30">
        <f>'Текущие концовки'!F99</f>
        <v>0</v>
      </c>
      <c r="N579" s="30">
        <f>'Базовые концовки'!F99</f>
        <v>0</v>
      </c>
    </row>
    <row r="580" spans="2:14" ht="10.5" hidden="1">
      <c r="B580" s="7" t="s">
        <v>287</v>
      </c>
      <c r="G580" s="12"/>
      <c r="H580" s="30">
        <f>'Текущие концовки'!F100</f>
        <v>55721.75</v>
      </c>
      <c r="N580" s="30">
        <f>'Базовые концовки'!F100</f>
        <v>0</v>
      </c>
    </row>
    <row r="581" spans="2:14" ht="10.5" hidden="1">
      <c r="B581" s="7" t="s">
        <v>288</v>
      </c>
      <c r="G581" s="12"/>
      <c r="H581" s="30">
        <f>'Текущие концовки'!F101</f>
        <v>32666.68</v>
      </c>
      <c r="N581" s="30">
        <f>'Базовые концовки'!F101</f>
        <v>0</v>
      </c>
    </row>
    <row r="582" spans="2:14" ht="10.5" hidden="1">
      <c r="B582" s="7" t="s">
        <v>289</v>
      </c>
      <c r="H582" s="30">
        <f>'Текущие концовки'!L102</f>
        <v>0</v>
      </c>
      <c r="N582" s="30">
        <f>'Базовые концовки'!L102</f>
        <v>0</v>
      </c>
    </row>
    <row r="583" spans="2:14" ht="10.5" hidden="1">
      <c r="B583" s="7" t="s">
        <v>290</v>
      </c>
      <c r="G583" s="12"/>
      <c r="H583" s="30">
        <f>'Текущие концовки'!F103</f>
        <v>44999.87</v>
      </c>
      <c r="N583" s="30">
        <f>'Базовые концовки'!F103</f>
        <v>0</v>
      </c>
    </row>
    <row r="584" spans="2:14" ht="10.5" hidden="1">
      <c r="B584" s="7" t="s">
        <v>291</v>
      </c>
      <c r="G584" s="12"/>
      <c r="H584" s="30">
        <f>'Текущие концовки'!F104</f>
        <v>14950.9</v>
      </c>
      <c r="N584" s="30">
        <f>'Базовые концовки'!F104</f>
        <v>0</v>
      </c>
    </row>
    <row r="585" spans="2:14" ht="10.5" hidden="1">
      <c r="B585" s="7" t="s">
        <v>292</v>
      </c>
      <c r="G585" s="12"/>
      <c r="H585" s="30">
        <f>'Текущие концовки'!F105</f>
        <v>59950.77</v>
      </c>
      <c r="N585" s="30">
        <f>'Базовые концовки'!F105</f>
        <v>0</v>
      </c>
    </row>
    <row r="586" spans="2:14" ht="10.5" hidden="1">
      <c r="B586" s="7" t="s">
        <v>293</v>
      </c>
      <c r="G586" s="12"/>
      <c r="H586" s="6">
        <f>'Текущие концовки'!J106</f>
        <v>504.2559</v>
      </c>
      <c r="M586" s="12"/>
      <c r="N586" s="6">
        <f>'Базовые концовки'!J106</f>
        <v>504.2559</v>
      </c>
    </row>
    <row r="587" spans="2:14" ht="10.5" hidden="1">
      <c r="B587" s="7" t="s">
        <v>294</v>
      </c>
      <c r="G587" s="12"/>
      <c r="H587" s="6">
        <f>'Текущие концовки'!J107</f>
        <v>124.820428</v>
      </c>
      <c r="M587" s="12"/>
      <c r="N587" s="6">
        <f>'Базовые концовки'!J107</f>
        <v>124.820428</v>
      </c>
    </row>
    <row r="588" spans="2:14" ht="10.5" hidden="1">
      <c r="B588" s="7" t="s">
        <v>295</v>
      </c>
      <c r="G588" s="12"/>
      <c r="H588" s="6">
        <f>'Текущие концовки'!J108</f>
        <v>629.076328</v>
      </c>
      <c r="M588" s="12"/>
      <c r="N588" s="6">
        <f>'Базовые концовки'!J108</f>
        <v>629.076328</v>
      </c>
    </row>
    <row r="590" spans="2:8" ht="10.5">
      <c r="B590" s="4" t="s">
        <v>296</v>
      </c>
      <c r="C590" s="74" t="s">
        <v>662</v>
      </c>
      <c r="D590" s="75"/>
      <c r="E590" s="75"/>
      <c r="F590" s="75"/>
      <c r="G590" s="75"/>
      <c r="H590" s="75"/>
    </row>
    <row r="591" spans="3:10" ht="10.5">
      <c r="C591" s="76" t="s">
        <v>297</v>
      </c>
      <c r="D591" s="76"/>
      <c r="E591" s="76"/>
      <c r="F591" s="76"/>
      <c r="G591" s="76"/>
      <c r="H591" s="76"/>
      <c r="I591" s="76"/>
      <c r="J591" s="76"/>
    </row>
    <row r="593" spans="2:8" ht="10.5">
      <c r="B593" s="4"/>
      <c r="C593" s="75"/>
      <c r="D593" s="75"/>
      <c r="E593" s="75"/>
      <c r="F593" s="75"/>
      <c r="G593" s="75"/>
      <c r="H593" s="75"/>
    </row>
    <row r="594" spans="3:10" ht="10.5">
      <c r="C594" s="76"/>
      <c r="D594" s="76"/>
      <c r="E594" s="76"/>
      <c r="F594" s="76"/>
      <c r="G594" s="76"/>
      <c r="H594" s="76"/>
      <c r="I594" s="76"/>
      <c r="J594" s="76"/>
    </row>
    <row r="595" ht="10.5">
      <c r="A595" s="32"/>
    </row>
  </sheetData>
  <sheetProtection/>
  <mergeCells count="124">
    <mergeCell ref="F1:H1"/>
    <mergeCell ref="D3:H3"/>
    <mergeCell ref="G21:H21"/>
    <mergeCell ref="F17:G17"/>
    <mergeCell ref="F18:G18"/>
    <mergeCell ref="B3:C3"/>
    <mergeCell ref="B4:C4"/>
    <mergeCell ref="B5:C5"/>
    <mergeCell ref="B6:C6"/>
    <mergeCell ref="B7:C7"/>
    <mergeCell ref="B8:C8"/>
    <mergeCell ref="F4:H4"/>
    <mergeCell ref="F16:G16"/>
    <mergeCell ref="F6:H6"/>
    <mergeCell ref="D5:H5"/>
    <mergeCell ref="D7:H7"/>
    <mergeCell ref="A21:A22"/>
    <mergeCell ref="B21:B22"/>
    <mergeCell ref="C21:C22"/>
    <mergeCell ref="E21:F21"/>
    <mergeCell ref="A13:H13"/>
    <mergeCell ref="A14:H14"/>
    <mergeCell ref="A15:H15"/>
    <mergeCell ref="A19:H19"/>
    <mergeCell ref="F27:F28"/>
    <mergeCell ref="A68:A69"/>
    <mergeCell ref="B68:B69"/>
    <mergeCell ref="C68:C69"/>
    <mergeCell ref="E68:E69"/>
    <mergeCell ref="F68:F69"/>
    <mergeCell ref="A27:A28"/>
    <mergeCell ref="B27:B28"/>
    <mergeCell ref="C27:C28"/>
    <mergeCell ref="E27:E28"/>
    <mergeCell ref="F70:F71"/>
    <mergeCell ref="A73:A74"/>
    <mergeCell ref="B73:B74"/>
    <mergeCell ref="C73:C74"/>
    <mergeCell ref="E73:E74"/>
    <mergeCell ref="F73:F74"/>
    <mergeCell ref="A70:A71"/>
    <mergeCell ref="B70:B71"/>
    <mergeCell ref="C70:C71"/>
    <mergeCell ref="E70:E71"/>
    <mergeCell ref="F75:F76"/>
    <mergeCell ref="A138:A139"/>
    <mergeCell ref="B138:B139"/>
    <mergeCell ref="C138:C139"/>
    <mergeCell ref="E138:E139"/>
    <mergeCell ref="F138:F139"/>
    <mergeCell ref="A75:A76"/>
    <mergeCell ref="B75:B76"/>
    <mergeCell ref="C75:C76"/>
    <mergeCell ref="E75:E76"/>
    <mergeCell ref="F142:F143"/>
    <mergeCell ref="A171:A172"/>
    <mergeCell ref="B171:B172"/>
    <mergeCell ref="C171:C172"/>
    <mergeCell ref="E171:E172"/>
    <mergeCell ref="F171:F172"/>
    <mergeCell ref="A142:A143"/>
    <mergeCell ref="B142:B143"/>
    <mergeCell ref="C142:C143"/>
    <mergeCell ref="E142:E143"/>
    <mergeCell ref="F174:F175"/>
    <mergeCell ref="A214:A215"/>
    <mergeCell ref="B214:B215"/>
    <mergeCell ref="C214:C215"/>
    <mergeCell ref="E214:E215"/>
    <mergeCell ref="F214:F215"/>
    <mergeCell ref="A174:A175"/>
    <mergeCell ref="B174:B175"/>
    <mergeCell ref="C174:C175"/>
    <mergeCell ref="E174:E175"/>
    <mergeCell ref="F236:F237"/>
    <mergeCell ref="A240:A241"/>
    <mergeCell ref="B240:B241"/>
    <mergeCell ref="C240:C241"/>
    <mergeCell ref="E240:E241"/>
    <mergeCell ref="F240:F241"/>
    <mergeCell ref="A236:A237"/>
    <mergeCell ref="B236:B237"/>
    <mergeCell ref="C236:C237"/>
    <mergeCell ref="E236:E237"/>
    <mergeCell ref="F242:F243"/>
    <mergeCell ref="A244:A245"/>
    <mergeCell ref="B244:B245"/>
    <mergeCell ref="C244:C245"/>
    <mergeCell ref="E244:E245"/>
    <mergeCell ref="F244:F245"/>
    <mergeCell ref="A242:A243"/>
    <mergeCell ref="B242:B243"/>
    <mergeCell ref="C242:C243"/>
    <mergeCell ref="E242:E243"/>
    <mergeCell ref="F277:F278"/>
    <mergeCell ref="A247:A248"/>
    <mergeCell ref="B247:B248"/>
    <mergeCell ref="C247:C248"/>
    <mergeCell ref="E247:E248"/>
    <mergeCell ref="F247:F248"/>
    <mergeCell ref="A277:A278"/>
    <mergeCell ref="B277:B278"/>
    <mergeCell ref="C277:C278"/>
    <mergeCell ref="E277:E278"/>
    <mergeCell ref="F275:F276"/>
    <mergeCell ref="A273:A274"/>
    <mergeCell ref="B273:B274"/>
    <mergeCell ref="C273:C274"/>
    <mergeCell ref="A275:A276"/>
    <mergeCell ref="B275:B276"/>
    <mergeCell ref="C275:C276"/>
    <mergeCell ref="E275:E276"/>
    <mergeCell ref="E273:E274"/>
    <mergeCell ref="F273:F274"/>
    <mergeCell ref="C590:H590"/>
    <mergeCell ref="C591:J591"/>
    <mergeCell ref="C593:H593"/>
    <mergeCell ref="C594:J594"/>
    <mergeCell ref="F281:F282"/>
    <mergeCell ref="B575:C575"/>
    <mergeCell ref="A281:A282"/>
    <mergeCell ref="B281:B282"/>
    <mergeCell ref="C281:C282"/>
    <mergeCell ref="E281:E282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6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3.7109375" style="33" customWidth="1"/>
    <col min="2" max="2" width="32.7109375" style="33" customWidth="1"/>
    <col min="3" max="6" width="11.7109375" style="33" customWidth="1"/>
    <col min="7" max="7" width="17.28125" style="33" customWidth="1"/>
    <col min="8" max="8" width="17.28125" style="33" hidden="1" customWidth="1"/>
    <col min="9" max="16384" width="9.140625" style="33" customWidth="1"/>
  </cols>
  <sheetData>
    <row r="1" spans="1:8" s="34" customFormat="1" ht="10.5">
      <c r="A1" s="84" t="s">
        <v>299</v>
      </c>
      <c r="B1" s="84" t="s">
        <v>300</v>
      </c>
      <c r="C1" s="60" t="s">
        <v>301</v>
      </c>
      <c r="D1" s="61"/>
      <c r="E1" s="60" t="s">
        <v>302</v>
      </c>
      <c r="F1" s="61"/>
      <c r="G1" s="84" t="s">
        <v>303</v>
      </c>
      <c r="H1" s="84" t="s">
        <v>304</v>
      </c>
    </row>
    <row r="2" spans="1:8" ht="10.5">
      <c r="A2" s="59"/>
      <c r="B2" s="58"/>
      <c r="C2" s="35" t="s">
        <v>305</v>
      </c>
      <c r="D2" s="35" t="s">
        <v>306</v>
      </c>
      <c r="E2" s="35" t="s">
        <v>305</v>
      </c>
      <c r="F2" s="35" t="s">
        <v>306</v>
      </c>
      <c r="G2" s="58"/>
      <c r="H2" s="58"/>
    </row>
    <row r="3" spans="1:8" ht="21">
      <c r="A3" s="14" t="s">
        <v>307</v>
      </c>
      <c r="B3" s="14" t="s">
        <v>308</v>
      </c>
      <c r="C3" s="36"/>
      <c r="D3" s="36">
        <v>79.23</v>
      </c>
      <c r="E3" s="36"/>
      <c r="F3" s="36"/>
      <c r="G3" s="33">
        <v>0</v>
      </c>
      <c r="H3" s="4" t="s">
        <v>309</v>
      </c>
    </row>
    <row r="4" spans="1:8" ht="21">
      <c r="A4" s="14" t="s">
        <v>310</v>
      </c>
      <c r="B4" s="14" t="s">
        <v>311</v>
      </c>
      <c r="C4" s="36"/>
      <c r="D4" s="36">
        <v>82.46</v>
      </c>
      <c r="E4" s="36"/>
      <c r="F4" s="36"/>
      <c r="G4" s="33">
        <v>0</v>
      </c>
      <c r="H4" s="4" t="s">
        <v>309</v>
      </c>
    </row>
    <row r="5" spans="1:8" ht="21">
      <c r="A5" s="14" t="s">
        <v>312</v>
      </c>
      <c r="B5" s="14" t="s">
        <v>313</v>
      </c>
      <c r="C5" s="36"/>
      <c r="D5" s="36">
        <v>98.42</v>
      </c>
      <c r="E5" s="36"/>
      <c r="F5" s="36"/>
      <c r="G5" s="33">
        <v>0</v>
      </c>
      <c r="H5" s="4" t="s">
        <v>309</v>
      </c>
    </row>
    <row r="6" spans="1:8" ht="21">
      <c r="A6" s="14" t="s">
        <v>314</v>
      </c>
      <c r="B6" s="14" t="s">
        <v>315</v>
      </c>
      <c r="C6" s="36"/>
      <c r="D6" s="36">
        <v>101.84</v>
      </c>
      <c r="E6" s="36"/>
      <c r="F6" s="36"/>
      <c r="G6" s="33">
        <v>0</v>
      </c>
      <c r="H6" s="4" t="s">
        <v>309</v>
      </c>
    </row>
    <row r="7" spans="1:8" ht="21">
      <c r="A7" s="14" t="s">
        <v>316</v>
      </c>
      <c r="B7" s="14" t="s">
        <v>317</v>
      </c>
      <c r="C7" s="36"/>
      <c r="D7" s="36">
        <v>103.36</v>
      </c>
      <c r="E7" s="36"/>
      <c r="F7" s="36"/>
      <c r="G7" s="33">
        <v>0</v>
      </c>
      <c r="H7" s="4" t="s">
        <v>309</v>
      </c>
    </row>
    <row r="8" spans="1:8" ht="21">
      <c r="A8" s="14" t="s">
        <v>318</v>
      </c>
      <c r="B8" s="14" t="s">
        <v>319</v>
      </c>
      <c r="C8" s="36"/>
      <c r="D8" s="36">
        <v>109.44</v>
      </c>
      <c r="E8" s="36"/>
      <c r="F8" s="36"/>
      <c r="G8" s="33">
        <v>0</v>
      </c>
      <c r="H8" s="4" t="s">
        <v>309</v>
      </c>
    </row>
    <row r="9" spans="1:2" ht="10.5">
      <c r="A9" s="14" t="s">
        <v>32</v>
      </c>
      <c r="B9" s="14" t="s">
        <v>33</v>
      </c>
    </row>
    <row r="10" spans="1:8" ht="21">
      <c r="A10" s="14" t="s">
        <v>320</v>
      </c>
      <c r="B10" s="14" t="s">
        <v>321</v>
      </c>
      <c r="C10" s="37"/>
      <c r="D10" s="37">
        <v>2257.63</v>
      </c>
      <c r="E10" s="37"/>
      <c r="F10" s="37">
        <v>2033.9</v>
      </c>
      <c r="G10" s="33">
        <v>0</v>
      </c>
      <c r="H10" s="4" t="s">
        <v>309</v>
      </c>
    </row>
    <row r="11" spans="1:8" ht="10.5">
      <c r="A11" s="14" t="s">
        <v>322</v>
      </c>
      <c r="B11" s="14" t="s">
        <v>323</v>
      </c>
      <c r="C11" s="37"/>
      <c r="D11" s="37">
        <v>52913.7</v>
      </c>
      <c r="E11" s="37"/>
      <c r="F11" s="37">
        <v>47670</v>
      </c>
      <c r="G11" s="33">
        <v>0</v>
      </c>
      <c r="H11" s="4" t="s">
        <v>309</v>
      </c>
    </row>
    <row r="12" spans="1:8" ht="21">
      <c r="A12" s="14" t="s">
        <v>324</v>
      </c>
      <c r="B12" s="14" t="s">
        <v>325</v>
      </c>
      <c r="C12" s="37"/>
      <c r="D12" s="37">
        <v>28.36</v>
      </c>
      <c r="E12" s="37"/>
      <c r="F12" s="37">
        <v>25.55</v>
      </c>
      <c r="G12" s="33">
        <v>0</v>
      </c>
      <c r="H12" s="4" t="s">
        <v>309</v>
      </c>
    </row>
    <row r="13" spans="1:8" ht="21">
      <c r="A13" s="14" t="s">
        <v>326</v>
      </c>
      <c r="B13" s="14" t="s">
        <v>327</v>
      </c>
      <c r="C13" s="37"/>
      <c r="D13" s="37">
        <v>50183.1</v>
      </c>
      <c r="E13" s="37"/>
      <c r="F13" s="37">
        <v>45210</v>
      </c>
      <c r="G13" s="33">
        <v>0</v>
      </c>
      <c r="H13" s="4" t="s">
        <v>309</v>
      </c>
    </row>
    <row r="14" spans="1:8" ht="31.5">
      <c r="A14" s="14" t="s">
        <v>328</v>
      </c>
      <c r="B14" s="14" t="s">
        <v>329</v>
      </c>
      <c r="C14" s="37"/>
      <c r="D14" s="37">
        <v>20342.03</v>
      </c>
      <c r="E14" s="37"/>
      <c r="F14" s="37">
        <v>18326.15</v>
      </c>
      <c r="G14" s="33">
        <v>0</v>
      </c>
      <c r="H14" s="4" t="s">
        <v>309</v>
      </c>
    </row>
    <row r="15" spans="1:8" ht="10.5">
      <c r="A15" s="14" t="s">
        <v>330</v>
      </c>
      <c r="B15" s="14" t="s">
        <v>331</v>
      </c>
      <c r="C15" s="37"/>
      <c r="D15" s="37">
        <v>49149.39</v>
      </c>
      <c r="E15" s="37"/>
      <c r="F15" s="37">
        <v>44278.73</v>
      </c>
      <c r="G15" s="33">
        <v>0</v>
      </c>
      <c r="H15" s="4" t="s">
        <v>309</v>
      </c>
    </row>
    <row r="16" spans="1:8" ht="10.5">
      <c r="A16" s="14" t="s">
        <v>332</v>
      </c>
      <c r="B16" s="14" t="s">
        <v>333</v>
      </c>
      <c r="C16" s="37"/>
      <c r="D16" s="37">
        <v>52929.36</v>
      </c>
      <c r="E16" s="37"/>
      <c r="F16" s="37">
        <v>47684.11</v>
      </c>
      <c r="G16" s="33">
        <v>0</v>
      </c>
      <c r="H16" s="4" t="s">
        <v>309</v>
      </c>
    </row>
    <row r="17" spans="1:8" ht="21">
      <c r="A17" s="14" t="s">
        <v>334</v>
      </c>
      <c r="B17" s="14" t="s">
        <v>335</v>
      </c>
      <c r="C17" s="37"/>
      <c r="D17" s="37">
        <v>203.82</v>
      </c>
      <c r="E17" s="37"/>
      <c r="F17" s="37">
        <v>183.62</v>
      </c>
      <c r="G17" s="33">
        <v>0</v>
      </c>
      <c r="H17" s="4" t="s">
        <v>309</v>
      </c>
    </row>
    <row r="18" spans="1:8" ht="21">
      <c r="A18" s="14" t="s">
        <v>336</v>
      </c>
      <c r="B18" s="14" t="s">
        <v>337</v>
      </c>
      <c r="C18" s="37"/>
      <c r="D18" s="37">
        <v>23.14</v>
      </c>
      <c r="E18" s="37"/>
      <c r="F18" s="37">
        <v>20.85</v>
      </c>
      <c r="G18" s="33">
        <v>0</v>
      </c>
      <c r="H18" s="4" t="s">
        <v>309</v>
      </c>
    </row>
    <row r="19" spans="1:8" ht="10.5">
      <c r="A19" s="14" t="s">
        <v>338</v>
      </c>
      <c r="B19" s="14" t="s">
        <v>339</v>
      </c>
      <c r="C19" s="37"/>
      <c r="D19" s="37">
        <v>58885.5</v>
      </c>
      <c r="E19" s="37"/>
      <c r="F19" s="37">
        <v>53050</v>
      </c>
      <c r="G19" s="33">
        <v>0</v>
      </c>
      <c r="H19" s="4" t="s">
        <v>309</v>
      </c>
    </row>
    <row r="20" spans="1:8" ht="42">
      <c r="A20" s="14" t="s">
        <v>340</v>
      </c>
      <c r="B20" s="14" t="s">
        <v>341</v>
      </c>
      <c r="C20" s="37"/>
      <c r="D20" s="37">
        <v>4695.17</v>
      </c>
      <c r="E20" s="37"/>
      <c r="F20" s="37">
        <v>4229.88</v>
      </c>
      <c r="G20" s="33">
        <v>0</v>
      </c>
      <c r="H20" s="4" t="s">
        <v>309</v>
      </c>
    </row>
    <row r="21" spans="1:8" ht="52.5">
      <c r="A21" s="14" t="s">
        <v>342</v>
      </c>
      <c r="B21" s="14" t="s">
        <v>343</v>
      </c>
      <c r="C21" s="37"/>
      <c r="D21" s="37">
        <v>169.95</v>
      </c>
      <c r="E21" s="37"/>
      <c r="F21" s="37">
        <v>153.11</v>
      </c>
      <c r="G21" s="33">
        <v>0</v>
      </c>
      <c r="H21" s="4" t="s">
        <v>309</v>
      </c>
    </row>
    <row r="22" spans="1:8" ht="21">
      <c r="A22" s="14" t="s">
        <v>344</v>
      </c>
      <c r="B22" s="14" t="s">
        <v>345</v>
      </c>
      <c r="C22" s="37"/>
      <c r="D22" s="37">
        <v>80659.38</v>
      </c>
      <c r="E22" s="37"/>
      <c r="F22" s="37">
        <v>72666.11</v>
      </c>
      <c r="G22" s="33">
        <v>0</v>
      </c>
      <c r="H22" s="4" t="s">
        <v>309</v>
      </c>
    </row>
    <row r="23" spans="1:8" ht="10.5">
      <c r="A23" s="14" t="s">
        <v>346</v>
      </c>
      <c r="B23" s="14" t="s">
        <v>347</v>
      </c>
      <c r="C23" s="37"/>
      <c r="D23" s="37">
        <v>215</v>
      </c>
      <c r="E23" s="37"/>
      <c r="F23" s="37"/>
      <c r="G23" s="33">
        <v>0</v>
      </c>
      <c r="H23" s="4" t="s">
        <v>309</v>
      </c>
    </row>
    <row r="24" spans="1:8" ht="10.5">
      <c r="A24" s="14" t="s">
        <v>348</v>
      </c>
      <c r="B24" s="14" t="s">
        <v>349</v>
      </c>
      <c r="C24" s="37"/>
      <c r="D24" s="37">
        <v>132.32</v>
      </c>
      <c r="E24" s="37"/>
      <c r="F24" s="37">
        <v>119.21</v>
      </c>
      <c r="G24" s="33">
        <v>0</v>
      </c>
      <c r="H24" s="4" t="s">
        <v>309</v>
      </c>
    </row>
    <row r="25" spans="1:8" ht="10.5">
      <c r="A25" s="14" t="s">
        <v>350</v>
      </c>
      <c r="B25" s="14" t="s">
        <v>351</v>
      </c>
      <c r="C25" s="37"/>
      <c r="D25" s="37">
        <v>33130</v>
      </c>
      <c r="E25" s="37"/>
      <c r="F25" s="37"/>
      <c r="G25" s="33">
        <v>0</v>
      </c>
      <c r="H25" s="4" t="s">
        <v>309</v>
      </c>
    </row>
    <row r="26" spans="1:8" ht="31.5">
      <c r="A26" s="14" t="s">
        <v>352</v>
      </c>
      <c r="B26" s="14" t="s">
        <v>353</v>
      </c>
      <c r="C26" s="37"/>
      <c r="D26" s="37">
        <v>76827.84</v>
      </c>
      <c r="E26" s="37"/>
      <c r="F26" s="37">
        <v>69214.27</v>
      </c>
      <c r="G26" s="33">
        <v>0</v>
      </c>
      <c r="H26" s="4" t="s">
        <v>309</v>
      </c>
    </row>
    <row r="27" spans="1:8" ht="10.5">
      <c r="A27" s="14" t="s">
        <v>354</v>
      </c>
      <c r="B27" s="14" t="s">
        <v>355</v>
      </c>
      <c r="C27" s="37"/>
      <c r="D27" s="37">
        <v>162.46</v>
      </c>
      <c r="E27" s="37"/>
      <c r="F27" s="37">
        <v>146.36</v>
      </c>
      <c r="G27" s="33">
        <v>0</v>
      </c>
      <c r="H27" s="4" t="s">
        <v>309</v>
      </c>
    </row>
    <row r="28" spans="1:8" ht="10.5">
      <c r="A28" s="14" t="s">
        <v>356</v>
      </c>
      <c r="B28" s="14" t="s">
        <v>357</v>
      </c>
      <c r="C28" s="37"/>
      <c r="D28" s="37">
        <v>165</v>
      </c>
      <c r="E28" s="37"/>
      <c r="F28" s="37"/>
      <c r="G28" s="33">
        <v>0</v>
      </c>
      <c r="H28" s="4" t="s">
        <v>309</v>
      </c>
    </row>
    <row r="29" spans="1:8" ht="10.5">
      <c r="A29" s="14" t="s">
        <v>358</v>
      </c>
      <c r="B29" s="14" t="s">
        <v>359</v>
      </c>
      <c r="C29" s="37"/>
      <c r="D29" s="37">
        <v>2908.13</v>
      </c>
      <c r="E29" s="37"/>
      <c r="F29" s="37">
        <v>2619.94</v>
      </c>
      <c r="G29" s="33">
        <v>0</v>
      </c>
      <c r="H29" s="4" t="s">
        <v>309</v>
      </c>
    </row>
    <row r="30" spans="1:8" ht="10.5">
      <c r="A30" s="14" t="s">
        <v>360</v>
      </c>
      <c r="B30" s="14" t="s">
        <v>361</v>
      </c>
      <c r="C30" s="37"/>
      <c r="D30" s="37">
        <v>3053.01</v>
      </c>
      <c r="E30" s="37"/>
      <c r="F30" s="37">
        <v>2750.46</v>
      </c>
      <c r="G30" s="33">
        <v>0</v>
      </c>
      <c r="H30" s="4" t="s">
        <v>309</v>
      </c>
    </row>
    <row r="31" spans="1:8" ht="10.5">
      <c r="A31" s="14" t="s">
        <v>362</v>
      </c>
      <c r="B31" s="14" t="s">
        <v>363</v>
      </c>
      <c r="C31" s="37"/>
      <c r="D31" s="37">
        <v>3406.56</v>
      </c>
      <c r="E31" s="37"/>
      <c r="F31" s="37"/>
      <c r="G31" s="33">
        <v>0</v>
      </c>
      <c r="H31" s="4" t="s">
        <v>309</v>
      </c>
    </row>
    <row r="32" spans="1:8" ht="10.5">
      <c r="A32" s="14" t="s">
        <v>364</v>
      </c>
      <c r="B32" s="14" t="s">
        <v>365</v>
      </c>
      <c r="C32" s="37"/>
      <c r="D32" s="37">
        <v>1852.73</v>
      </c>
      <c r="E32" s="37"/>
      <c r="F32" s="37">
        <v>1669.13</v>
      </c>
      <c r="G32" s="33">
        <v>0</v>
      </c>
      <c r="H32" s="4" t="s">
        <v>309</v>
      </c>
    </row>
    <row r="33" spans="1:8" ht="31.5">
      <c r="A33" s="14" t="s">
        <v>366</v>
      </c>
      <c r="B33" s="14" t="s">
        <v>367</v>
      </c>
      <c r="C33" s="37"/>
      <c r="D33" s="37">
        <v>1850</v>
      </c>
      <c r="E33" s="37"/>
      <c r="F33" s="37"/>
      <c r="G33" s="33">
        <v>0</v>
      </c>
      <c r="H33" s="4" t="s">
        <v>309</v>
      </c>
    </row>
    <row r="34" spans="1:8" ht="10.5">
      <c r="A34" s="14" t="s">
        <v>368</v>
      </c>
      <c r="B34" s="14" t="s">
        <v>369</v>
      </c>
      <c r="C34" s="37"/>
      <c r="D34" s="37">
        <v>11.63</v>
      </c>
      <c r="E34" s="37"/>
      <c r="F34" s="37">
        <v>10.48</v>
      </c>
      <c r="G34" s="33">
        <v>0</v>
      </c>
      <c r="H34" s="4" t="s">
        <v>309</v>
      </c>
    </row>
    <row r="35" spans="1:8" ht="21">
      <c r="A35" s="14" t="s">
        <v>370</v>
      </c>
      <c r="B35" s="14" t="s">
        <v>371</v>
      </c>
      <c r="C35" s="37"/>
      <c r="D35" s="37"/>
      <c r="E35" s="37"/>
      <c r="F35" s="37"/>
      <c r="G35" s="33">
        <v>0</v>
      </c>
      <c r="H35" s="4" t="s">
        <v>309</v>
      </c>
    </row>
    <row r="36" spans="1:8" ht="21">
      <c r="A36" s="14" t="s">
        <v>372</v>
      </c>
      <c r="B36" s="14" t="s">
        <v>373</v>
      </c>
      <c r="C36" s="37"/>
      <c r="D36" s="37">
        <v>2922.96</v>
      </c>
      <c r="E36" s="37"/>
      <c r="F36" s="37">
        <v>2633.3</v>
      </c>
      <c r="G36" s="33">
        <v>0</v>
      </c>
      <c r="H36" s="4" t="s">
        <v>309</v>
      </c>
    </row>
    <row r="37" spans="1:8" ht="21">
      <c r="A37" s="14" t="s">
        <v>374</v>
      </c>
      <c r="B37" s="14" t="s">
        <v>375</v>
      </c>
      <c r="C37" s="37"/>
      <c r="D37" s="37">
        <v>9790.53</v>
      </c>
      <c r="E37" s="37"/>
      <c r="F37" s="37">
        <v>8820.3</v>
      </c>
      <c r="G37" s="33">
        <v>0</v>
      </c>
      <c r="H37" s="4" t="s">
        <v>309</v>
      </c>
    </row>
    <row r="38" spans="1:8" ht="10.5">
      <c r="A38" s="14" t="s">
        <v>376</v>
      </c>
      <c r="B38" s="14" t="s">
        <v>377</v>
      </c>
      <c r="C38" s="37"/>
      <c r="D38" s="37"/>
      <c r="E38" s="37"/>
      <c r="F38" s="37"/>
      <c r="G38" s="33">
        <v>0</v>
      </c>
      <c r="H38" s="4" t="s">
        <v>309</v>
      </c>
    </row>
    <row r="39" spans="1:8" ht="21">
      <c r="A39" s="14" t="s">
        <v>378</v>
      </c>
      <c r="B39" s="14" t="s">
        <v>379</v>
      </c>
      <c r="C39" s="37"/>
      <c r="D39" s="37">
        <v>6315.9</v>
      </c>
      <c r="E39" s="37"/>
      <c r="F39" s="37">
        <v>5690</v>
      </c>
      <c r="G39" s="33">
        <v>0</v>
      </c>
      <c r="H39" s="4" t="s">
        <v>309</v>
      </c>
    </row>
    <row r="40" spans="1:8" ht="10.5">
      <c r="A40" s="14" t="s">
        <v>187</v>
      </c>
      <c r="B40" s="14"/>
      <c r="C40" s="37"/>
      <c r="D40" s="37">
        <v>95.55</v>
      </c>
      <c r="E40" s="37"/>
      <c r="F40" s="37"/>
      <c r="G40" s="33">
        <v>0</v>
      </c>
      <c r="H40" s="4" t="s">
        <v>309</v>
      </c>
    </row>
    <row r="41" spans="1:8" ht="10.5">
      <c r="A41" s="14" t="s">
        <v>223</v>
      </c>
      <c r="B41" s="14"/>
      <c r="C41" s="37"/>
      <c r="D41" s="37">
        <v>3500</v>
      </c>
      <c r="E41" s="37"/>
      <c r="F41" s="37"/>
      <c r="G41" s="33">
        <v>0</v>
      </c>
      <c r="H41" s="4" t="s">
        <v>309</v>
      </c>
    </row>
    <row r="42" spans="1:8" ht="10.5">
      <c r="A42" s="14" t="s">
        <v>191</v>
      </c>
      <c r="B42" s="14"/>
      <c r="C42" s="37"/>
      <c r="D42" s="37">
        <v>65</v>
      </c>
      <c r="E42" s="37"/>
      <c r="F42" s="37"/>
      <c r="G42" s="33">
        <v>0</v>
      </c>
      <c r="H42" s="4" t="s">
        <v>309</v>
      </c>
    </row>
    <row r="43" spans="1:8" ht="10.5">
      <c r="A43" s="14" t="s">
        <v>195</v>
      </c>
      <c r="B43" s="14"/>
      <c r="C43" s="37"/>
      <c r="D43" s="37">
        <v>8852.5</v>
      </c>
      <c r="E43" s="37"/>
      <c r="F43" s="37"/>
      <c r="G43" s="33">
        <v>0</v>
      </c>
      <c r="H43" s="4" t="s">
        <v>309</v>
      </c>
    </row>
    <row r="44" spans="1:8" ht="10.5">
      <c r="A44" s="14" t="s">
        <v>199</v>
      </c>
      <c r="B44" s="14"/>
      <c r="C44" s="37"/>
      <c r="D44" s="37">
        <v>270</v>
      </c>
      <c r="E44" s="37"/>
      <c r="F44" s="37"/>
      <c r="G44" s="33">
        <v>0</v>
      </c>
      <c r="H44" s="4" t="s">
        <v>309</v>
      </c>
    </row>
    <row r="45" spans="1:8" ht="10.5">
      <c r="A45" s="14" t="s">
        <v>203</v>
      </c>
      <c r="B45" s="14"/>
      <c r="C45" s="37"/>
      <c r="D45" s="37">
        <v>62</v>
      </c>
      <c r="E45" s="37"/>
      <c r="F45" s="37"/>
      <c r="G45" s="33">
        <v>0</v>
      </c>
      <c r="H45" s="4" t="s">
        <v>309</v>
      </c>
    </row>
    <row r="46" spans="1:8" ht="10.5">
      <c r="A46" s="14" t="s">
        <v>207</v>
      </c>
      <c r="B46" s="14"/>
      <c r="C46" s="37"/>
      <c r="D46" s="37">
        <v>21.25</v>
      </c>
      <c r="E46" s="37"/>
      <c r="F46" s="37"/>
      <c r="G46" s="33">
        <v>0</v>
      </c>
      <c r="H46" s="4" t="s">
        <v>309</v>
      </c>
    </row>
    <row r="47" spans="1:8" ht="10.5">
      <c r="A47" s="14" t="s">
        <v>211</v>
      </c>
      <c r="B47" s="14"/>
      <c r="C47" s="37"/>
      <c r="D47" s="37">
        <v>50</v>
      </c>
      <c r="E47" s="37"/>
      <c r="F47" s="37"/>
      <c r="G47" s="33">
        <v>0</v>
      </c>
      <c r="H47" s="4" t="s">
        <v>309</v>
      </c>
    </row>
    <row r="48" spans="1:8" ht="10.5">
      <c r="A48" s="14" t="s">
        <v>215</v>
      </c>
      <c r="B48" s="14"/>
      <c r="C48" s="37"/>
      <c r="D48" s="37">
        <v>200</v>
      </c>
      <c r="E48" s="37"/>
      <c r="F48" s="37"/>
      <c r="G48" s="33">
        <v>0</v>
      </c>
      <c r="H48" s="4" t="s">
        <v>309</v>
      </c>
    </row>
    <row r="49" spans="1:8" ht="10.5">
      <c r="A49" s="14" t="s">
        <v>219</v>
      </c>
      <c r="B49" s="14"/>
      <c r="C49" s="37"/>
      <c r="D49" s="37">
        <v>3700</v>
      </c>
      <c r="E49" s="37"/>
      <c r="F49" s="37"/>
      <c r="G49" s="33">
        <v>0</v>
      </c>
      <c r="H49" s="4" t="s">
        <v>309</v>
      </c>
    </row>
    <row r="50" spans="1:8" ht="42">
      <c r="A50" s="14" t="s">
        <v>380</v>
      </c>
      <c r="B50" s="14" t="s">
        <v>381</v>
      </c>
      <c r="C50" s="37"/>
      <c r="D50" s="37">
        <v>351.1</v>
      </c>
      <c r="E50" s="37"/>
      <c r="F50" s="37">
        <v>147.82</v>
      </c>
      <c r="G50" s="33">
        <v>1</v>
      </c>
      <c r="H50" s="4" t="s">
        <v>309</v>
      </c>
    </row>
    <row r="51" spans="1:8" ht="31.5">
      <c r="A51" s="14" t="s">
        <v>382</v>
      </c>
      <c r="B51" s="14" t="s">
        <v>383</v>
      </c>
      <c r="C51" s="37"/>
      <c r="D51" s="37">
        <v>413.13</v>
      </c>
      <c r="E51" s="37"/>
      <c r="F51" s="37">
        <v>147.82</v>
      </c>
      <c r="G51" s="33">
        <v>1</v>
      </c>
      <c r="H51" s="4" t="s">
        <v>309</v>
      </c>
    </row>
    <row r="52" spans="1:8" ht="10.5">
      <c r="A52" s="14" t="s">
        <v>384</v>
      </c>
      <c r="B52" s="14" t="s">
        <v>385</v>
      </c>
      <c r="C52" s="37"/>
      <c r="D52" s="37">
        <v>108.52</v>
      </c>
      <c r="E52" s="37"/>
      <c r="F52" s="37"/>
      <c r="G52" s="33">
        <v>1</v>
      </c>
      <c r="H52" s="4" t="s">
        <v>309</v>
      </c>
    </row>
    <row r="53" spans="1:8" ht="10.5">
      <c r="A53" s="14" t="s">
        <v>386</v>
      </c>
      <c r="B53" s="14" t="s">
        <v>387</v>
      </c>
      <c r="C53" s="37"/>
      <c r="D53" s="37">
        <v>188.44</v>
      </c>
      <c r="E53" s="37"/>
      <c r="F53" s="37">
        <v>127.02</v>
      </c>
      <c r="G53" s="33">
        <v>1</v>
      </c>
      <c r="H53" s="4" t="s">
        <v>309</v>
      </c>
    </row>
    <row r="54" spans="1:8" ht="21">
      <c r="A54" s="14" t="s">
        <v>388</v>
      </c>
      <c r="B54" s="14" t="s">
        <v>389</v>
      </c>
      <c r="C54" s="37"/>
      <c r="D54" s="37">
        <v>348.31</v>
      </c>
      <c r="E54" s="37"/>
      <c r="F54" s="37">
        <v>147.82</v>
      </c>
      <c r="G54" s="33">
        <v>1</v>
      </c>
      <c r="H54" s="4" t="s">
        <v>309</v>
      </c>
    </row>
    <row r="55" spans="1:8" ht="31.5">
      <c r="A55" s="14" t="s">
        <v>390</v>
      </c>
      <c r="B55" s="14" t="s">
        <v>391</v>
      </c>
      <c r="C55" s="37"/>
      <c r="D55" s="37">
        <v>48.26</v>
      </c>
      <c r="E55" s="37"/>
      <c r="F55" s="37"/>
      <c r="G55" s="33">
        <v>0</v>
      </c>
      <c r="H55" s="4" t="s">
        <v>309</v>
      </c>
    </row>
    <row r="56" spans="1:8" ht="21">
      <c r="A56" s="14" t="s">
        <v>392</v>
      </c>
      <c r="B56" s="14" t="s">
        <v>393</v>
      </c>
      <c r="C56" s="37"/>
      <c r="D56" s="37">
        <v>30.82</v>
      </c>
      <c r="E56" s="37"/>
      <c r="F56" s="37"/>
      <c r="G56" s="33">
        <v>0</v>
      </c>
      <c r="H56" s="4" t="s">
        <v>309</v>
      </c>
    </row>
    <row r="57" spans="1:8" ht="21">
      <c r="A57" s="14" t="s">
        <v>394</v>
      </c>
      <c r="B57" s="14" t="s">
        <v>395</v>
      </c>
      <c r="C57" s="37"/>
      <c r="D57" s="37">
        <v>3.17</v>
      </c>
      <c r="E57" s="37"/>
      <c r="F57" s="37"/>
      <c r="G57" s="33">
        <v>0</v>
      </c>
      <c r="H57" s="4" t="s">
        <v>309</v>
      </c>
    </row>
    <row r="58" spans="1:8" ht="52.5">
      <c r="A58" s="14" t="s">
        <v>396</v>
      </c>
      <c r="B58" s="14" t="s">
        <v>397</v>
      </c>
      <c r="C58" s="37"/>
      <c r="D58" s="37">
        <v>56.98</v>
      </c>
      <c r="E58" s="37"/>
      <c r="F58" s="37"/>
      <c r="G58" s="33">
        <v>0</v>
      </c>
      <c r="H58" s="4" t="s">
        <v>309</v>
      </c>
    </row>
    <row r="59" spans="1:8" ht="63">
      <c r="A59" s="14" t="s">
        <v>398</v>
      </c>
      <c r="B59" s="14" t="s">
        <v>399</v>
      </c>
      <c r="C59" s="37"/>
      <c r="D59" s="37">
        <v>108.13</v>
      </c>
      <c r="E59" s="37"/>
      <c r="F59" s="37"/>
      <c r="G59" s="33">
        <v>0</v>
      </c>
      <c r="H59" s="4" t="s">
        <v>309</v>
      </c>
    </row>
    <row r="60" spans="1:8" ht="52.5">
      <c r="A60" s="14" t="s">
        <v>400</v>
      </c>
      <c r="B60" s="14" t="s">
        <v>401</v>
      </c>
      <c r="C60" s="37"/>
      <c r="D60" s="37">
        <v>454.75</v>
      </c>
      <c r="E60" s="37"/>
      <c r="F60" s="37">
        <v>147.82</v>
      </c>
      <c r="G60" s="33">
        <v>1</v>
      </c>
      <c r="H60" s="4" t="s">
        <v>309</v>
      </c>
    </row>
    <row r="61" spans="1:8" ht="31.5">
      <c r="A61" s="14" t="s">
        <v>402</v>
      </c>
      <c r="B61" s="14" t="s">
        <v>403</v>
      </c>
      <c r="C61" s="37"/>
      <c r="D61" s="37">
        <v>470.22</v>
      </c>
      <c r="E61" s="37"/>
      <c r="F61" s="37">
        <v>157.68</v>
      </c>
      <c r="G61" s="33">
        <v>1</v>
      </c>
      <c r="H61" s="4" t="s">
        <v>309</v>
      </c>
    </row>
    <row r="62" spans="1:8" ht="42">
      <c r="A62" s="14" t="s">
        <v>404</v>
      </c>
      <c r="B62" s="14" t="s">
        <v>405</v>
      </c>
      <c r="C62" s="37"/>
      <c r="D62" s="37">
        <v>323.61</v>
      </c>
      <c r="E62" s="37"/>
      <c r="F62" s="37">
        <v>147.82</v>
      </c>
      <c r="G62" s="33">
        <v>1</v>
      </c>
      <c r="H62" s="4" t="s">
        <v>309</v>
      </c>
    </row>
    <row r="63" spans="1:8" ht="21">
      <c r="A63" s="14" t="s">
        <v>406</v>
      </c>
      <c r="B63" s="14" t="s">
        <v>407</v>
      </c>
      <c r="C63" s="37"/>
      <c r="D63" s="37">
        <v>391.62</v>
      </c>
      <c r="E63" s="37"/>
      <c r="F63" s="37">
        <v>147.82</v>
      </c>
      <c r="G63" s="33">
        <v>1</v>
      </c>
      <c r="H63" s="4" t="s">
        <v>309</v>
      </c>
    </row>
    <row r="64" spans="1:8" ht="21">
      <c r="A64" s="14" t="s">
        <v>408</v>
      </c>
      <c r="B64" s="14" t="s">
        <v>409</v>
      </c>
      <c r="C64" s="37"/>
      <c r="D64" s="37">
        <v>97.88</v>
      </c>
      <c r="E64" s="37"/>
      <c r="F64" s="37"/>
      <c r="G64" s="33">
        <v>0</v>
      </c>
      <c r="H64" s="4" t="s">
        <v>309</v>
      </c>
    </row>
    <row r="65" spans="1:8" ht="31.5">
      <c r="A65" s="14" t="s">
        <v>410</v>
      </c>
      <c r="B65" s="14" t="s">
        <v>411</v>
      </c>
      <c r="C65" s="37"/>
      <c r="D65" s="37">
        <v>493.64</v>
      </c>
      <c r="E65" s="37"/>
      <c r="F65" s="37">
        <v>147.82</v>
      </c>
      <c r="G65" s="33">
        <v>1</v>
      </c>
      <c r="H65" s="4" t="s">
        <v>309</v>
      </c>
    </row>
    <row r="66" spans="1:8" ht="10.5">
      <c r="A66" s="14" t="s">
        <v>412</v>
      </c>
      <c r="B66" s="14" t="s">
        <v>413</v>
      </c>
      <c r="C66" s="37"/>
      <c r="D66" s="37">
        <v>202.2</v>
      </c>
      <c r="E66" s="37"/>
      <c r="F66" s="37">
        <v>127.02</v>
      </c>
      <c r="G66" s="33">
        <v>1</v>
      </c>
      <c r="H66" s="4" t="s">
        <v>309</v>
      </c>
    </row>
    <row r="67" spans="1:8" ht="42">
      <c r="A67" s="14" t="s">
        <v>414</v>
      </c>
      <c r="B67" s="14" t="s">
        <v>415</v>
      </c>
      <c r="C67" s="37"/>
      <c r="D67" s="37">
        <v>650</v>
      </c>
      <c r="E67" s="37"/>
      <c r="F67" s="37"/>
      <c r="G67" s="33">
        <v>1</v>
      </c>
      <c r="H67" s="4" t="s">
        <v>309</v>
      </c>
    </row>
    <row r="68" spans="1:8" ht="21">
      <c r="A68" s="14" t="s">
        <v>416</v>
      </c>
      <c r="B68" s="14" t="s">
        <v>417</v>
      </c>
      <c r="C68" s="37"/>
      <c r="D68" s="37">
        <v>14.52</v>
      </c>
      <c r="E68" s="37"/>
      <c r="F68" s="37"/>
      <c r="G68" s="33">
        <v>0</v>
      </c>
      <c r="H68" s="4" t="s">
        <v>309</v>
      </c>
    </row>
    <row r="69" spans="1:8" ht="21">
      <c r="A69" s="14" t="s">
        <v>418</v>
      </c>
      <c r="B69" s="14" t="s">
        <v>419</v>
      </c>
      <c r="C69" s="37"/>
      <c r="D69" s="37">
        <v>410.49</v>
      </c>
      <c r="E69" s="37"/>
      <c r="F69" s="37"/>
      <c r="G69" s="33">
        <v>1</v>
      </c>
      <c r="H69" s="4" t="s">
        <v>309</v>
      </c>
    </row>
  </sheetData>
  <sheetProtection/>
  <mergeCells count="6">
    <mergeCell ref="G1:G2"/>
    <mergeCell ref="H1:H2"/>
    <mergeCell ref="A1:A2"/>
    <mergeCell ref="B1:B2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E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3" customWidth="1"/>
    <col min="2" max="16384" width="9.140625" style="38" customWidth="1"/>
  </cols>
  <sheetData>
    <row r="1" spans="1:31" s="39" customFormat="1" ht="10.5">
      <c r="A1" s="6"/>
      <c r="B1" s="39" t="s">
        <v>420</v>
      </c>
      <c r="C1" s="39" t="s">
        <v>421</v>
      </c>
      <c r="D1" s="39" t="s">
        <v>422</v>
      </c>
      <c r="E1" s="39" t="s">
        <v>423</v>
      </c>
      <c r="F1" s="39" t="s">
        <v>424</v>
      </c>
      <c r="G1" s="39" t="s">
        <v>425</v>
      </c>
      <c r="H1" s="39" t="s">
        <v>426</v>
      </c>
      <c r="I1" s="39" t="s">
        <v>427</v>
      </c>
      <c r="J1" s="39" t="s">
        <v>428</v>
      </c>
      <c r="K1" s="39" t="s">
        <v>429</v>
      </c>
      <c r="L1" s="39" t="s">
        <v>430</v>
      </c>
      <c r="M1" s="39" t="s">
        <v>431</v>
      </c>
      <c r="N1" s="39" t="s">
        <v>432</v>
      </c>
      <c r="O1" s="39" t="s">
        <v>433</v>
      </c>
      <c r="P1" s="39" t="s">
        <v>434</v>
      </c>
      <c r="Q1" s="39" t="s">
        <v>435</v>
      </c>
      <c r="R1" s="39" t="s">
        <v>436</v>
      </c>
      <c r="S1" s="39" t="s">
        <v>437</v>
      </c>
      <c r="T1" s="39" t="s">
        <v>438</v>
      </c>
      <c r="U1" s="39" t="s">
        <v>439</v>
      </c>
      <c r="V1" s="39" t="s">
        <v>440</v>
      </c>
      <c r="X1" s="39" t="s">
        <v>441</v>
      </c>
      <c r="Y1" s="39" t="s">
        <v>442</v>
      </c>
      <c r="Z1" s="39" t="s">
        <v>443</v>
      </c>
      <c r="AA1" s="39" t="s">
        <v>444</v>
      </c>
      <c r="AB1" s="39" t="s">
        <v>445</v>
      </c>
      <c r="AC1" s="39" t="s">
        <v>446</v>
      </c>
      <c r="AD1" s="39" t="s">
        <v>447</v>
      </c>
      <c r="AE1" s="39" t="s">
        <v>448</v>
      </c>
    </row>
    <row r="2" spans="1:8" ht="10.5">
      <c r="A2" s="85"/>
      <c r="B2" s="86"/>
      <c r="C2" s="86"/>
      <c r="D2" s="86"/>
      <c r="E2" s="86"/>
      <c r="F2" s="86"/>
      <c r="G2" s="86"/>
      <c r="H2" s="86"/>
    </row>
    <row r="3" spans="1:8" ht="10.5">
      <c r="A3" s="40"/>
      <c r="B3" s="87" t="s">
        <v>449</v>
      </c>
      <c r="C3" s="87"/>
      <c r="D3" s="87"/>
      <c r="E3" s="87"/>
      <c r="F3" s="87"/>
      <c r="G3" s="87"/>
      <c r="H3" s="87"/>
    </row>
    <row r="4" spans="1:8" ht="10.5">
      <c r="A4" s="40"/>
      <c r="B4" s="87" t="s">
        <v>450</v>
      </c>
      <c r="C4" s="87"/>
      <c r="D4" s="87"/>
      <c r="E4" s="87"/>
      <c r="F4" s="87"/>
      <c r="G4" s="87"/>
      <c r="H4" s="87"/>
    </row>
    <row r="5" spans="1:8" ht="10.5">
      <c r="A5" s="85"/>
      <c r="B5" s="86"/>
      <c r="C5" s="86"/>
      <c r="D5" s="86"/>
      <c r="E5" s="86"/>
      <c r="F5" s="86"/>
      <c r="G5" s="86"/>
      <c r="H5" s="86"/>
    </row>
    <row r="6" spans="1:31" ht="10.5">
      <c r="A6" s="38" t="str">
        <f>'Форма по МДС 81-35.2004'!A25</f>
        <v>1.</v>
      </c>
      <c r="B6" s="38">
        <f>'Форма по МДС 81-35.2004'!M25</f>
        <v>0</v>
      </c>
      <c r="C6" s="38">
        <f>ROUND(СУММПРОИЗВЕСЛИ(1,'Форма по МДС 81-35.2004'!J25:J44,"Г",'Форма по МДС 81-35.2004'!E25:E44,'Форма по МДС 81-35.2004'!M25:M44,0),2)</f>
        <v>0</v>
      </c>
      <c r="D6" s="38">
        <f>ROUND(СУММПРОИЗВЕСЛИ(1,'Форма по МДС 81-35.2004'!J25:J44,"IsMash",'Форма по МДС 81-35.2004'!E25:E44,'Форма по МДС 81-35.2004'!M25:M44,0),2)</f>
        <v>0</v>
      </c>
      <c r="E6" s="38">
        <f>ROUND(СУММПРОИЗВЕСЛИ(1,'Форма по МДС 81-35.2004'!J25:J44,"Ж",'Форма по МДС 81-35.2004'!E25:E44,'Форма по МДС 81-35.2004'!M25:M44,0),2)</f>
        <v>0</v>
      </c>
      <c r="F6" s="38">
        <f>ROUND(СУММПРОИЗВЕСЛИ(1,'Форма по МДС 81-35.2004'!J25:J44,"IsMater",'Форма по МДС 81-35.2004'!E25:E44,'Форма по МДС 81-35.2004'!M25:M44,0),2)</f>
        <v>0</v>
      </c>
      <c r="G6" s="38">
        <v>0</v>
      </c>
      <c r="H6" s="38">
        <v>0</v>
      </c>
      <c r="I6" s="33">
        <f>ОКРУГЛВСЕ(SUMIF('Форма по МДС 81-35.2004'!J25:J44,"Г",'Форма по МДС 81-35.2004'!E25:E44),8)</f>
        <v>0</v>
      </c>
      <c r="J6" s="33">
        <v>0</v>
      </c>
      <c r="K6" s="33">
        <f>ОКРУГЛВСЕ(SUMIF('Форма по МДС 81-35.2004'!J25:J44,"Ж",'Форма по МДС 81-35.2004'!E25:E44),8)</f>
        <v>32.1425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</row>
    <row r="7" spans="1:31" ht="10.5">
      <c r="A7" s="38" t="str">
        <f>'Форма по МДС 81-35.2004'!A45</f>
        <v>2.</v>
      </c>
      <c r="B7" s="38">
        <f>'Форма по МДС 81-35.2004'!M45</f>
        <v>0</v>
      </c>
      <c r="C7" s="38">
        <f>ROUND(СУММПРОИЗВЕСЛИ(1,'Форма по МДС 81-35.2004'!J45:J64,"Г",'Форма по МДС 81-35.2004'!E45:E64,'Форма по МДС 81-35.2004'!M45:M64,0),3)</f>
        <v>0</v>
      </c>
      <c r="D7" s="38">
        <f>ROUND(СУММПРОИЗВЕСЛИ(1,'Форма по МДС 81-35.2004'!J45:J64,"IsMash",'Форма по МДС 81-35.2004'!E45:E64,'Форма по МДС 81-35.2004'!M45:M64,0),3)</f>
        <v>0</v>
      </c>
      <c r="E7" s="38">
        <f>ROUND(СУММПРОИЗВЕСЛИ(1,'Форма по МДС 81-35.2004'!J45:J64,"Ж",'Форма по МДС 81-35.2004'!E45:E64,'Форма по МДС 81-35.2004'!M45:M64,0),3)</f>
        <v>0</v>
      </c>
      <c r="F7" s="38">
        <f>ROUND(СУММПРОИЗВЕСЛИ(1,'Форма по МДС 81-35.2004'!J45:J64,"IsMater",'Форма по МДС 81-35.2004'!E45:E64,'Форма по МДС 81-35.2004'!M45:M64,0),3)</f>
        <v>0</v>
      </c>
      <c r="G7" s="38">
        <v>0</v>
      </c>
      <c r="H7" s="38">
        <v>0</v>
      </c>
      <c r="I7" s="33">
        <f>ОКРУГЛВСЕ(SUMIF('Форма по МДС 81-35.2004'!J45:J64,"Г",'Форма по МДС 81-35.2004'!E45:E64),8)</f>
        <v>217.35</v>
      </c>
      <c r="J7" s="33">
        <v>0</v>
      </c>
      <c r="K7" s="33">
        <f>ОКРУГЛВСЕ(SUMIF('Форма по МДС 81-35.2004'!J45:J64,"Ж",'Форма по МДС 81-35.2004'!E45:E64),8)</f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</row>
    <row r="8" spans="1:31" ht="10.5">
      <c r="A8" s="38" t="str">
        <f>'Форма по МДС 81-35.2004'!A65</f>
        <v>3.</v>
      </c>
      <c r="B8" s="38">
        <f>'Форма по МДС 81-35.2004'!M65</f>
        <v>0</v>
      </c>
      <c r="C8" s="38">
        <f>ROUND(СУММПРОИЗВЕСЛИ(1,'Форма по МДС 81-35.2004'!J65:J95,"Г",'Форма по МДС 81-35.2004'!E65:E95,'Форма по МДС 81-35.2004'!M65:M95,0),2)</f>
        <v>0</v>
      </c>
      <c r="D8" s="38">
        <f>ROUND(СУММПРОИЗВЕСЛИ(1,'Форма по МДС 81-35.2004'!J65:J95,"IsMash",'Форма по МДС 81-35.2004'!E65:E95,'Форма по МДС 81-35.2004'!M65:M95,0),2)</f>
        <v>0</v>
      </c>
      <c r="E8" s="38">
        <f>ROUND(СУММПРОИЗВЕСЛИ(1,'Форма по МДС 81-35.2004'!J65:J95,"Ж",'Форма по МДС 81-35.2004'!E65:E95,'Форма по МДС 81-35.2004'!M65:M95,0),2)</f>
        <v>0</v>
      </c>
      <c r="F8" s="38">
        <f>ROUND(СУММПРОИЗВЕСЛИ(1,'Форма по МДС 81-35.2004'!J65:J95,"IsMater",'Форма по МДС 81-35.2004'!E65:E95,'Форма по МДС 81-35.2004'!M65:M95,0),2)</f>
        <v>0</v>
      </c>
      <c r="G8" s="38">
        <v>0</v>
      </c>
      <c r="H8" s="38">
        <v>0</v>
      </c>
      <c r="I8" s="33">
        <f>ОКРУГЛВСЕ(SUMIF('Форма по МДС 81-35.2004'!J65:J95,"Г",'Форма по МДС 81-35.2004'!E65:E95),8)</f>
        <v>238.786</v>
      </c>
      <c r="J8" s="33">
        <v>0</v>
      </c>
      <c r="K8" s="33">
        <f>ОКРУГЛВСЕ(SUMIF('Форма по МДС 81-35.2004'!J65:J95,"Ж",'Форма по МДС 81-35.2004'!E65:E95),8)</f>
        <v>27.8185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</row>
    <row r="9" spans="1:31" ht="10.5">
      <c r="A9" s="38" t="str">
        <f>'Форма по МДС 81-35.2004'!A96</f>
        <v>4.</v>
      </c>
      <c r="B9" s="38">
        <f>'Форма по МДС 81-35.2004'!M96</f>
        <v>0</v>
      </c>
      <c r="C9" s="38">
        <f>ROUND(СУММПРОИЗВЕСЛИ(1,'Форма по МДС 81-35.2004'!J96:J115,"Г",'Форма по МДС 81-35.2004'!E96:E115,'Форма по МДС 81-35.2004'!M96:M115,0),3)</f>
        <v>0</v>
      </c>
      <c r="D9" s="38">
        <f>ROUND(СУММПРОИЗВЕСЛИ(1,'Форма по МДС 81-35.2004'!J96:J115,"IsMash",'Форма по МДС 81-35.2004'!E96:E115,'Форма по МДС 81-35.2004'!M96:M115,0),3)</f>
        <v>0</v>
      </c>
      <c r="E9" s="38">
        <f>ROUND(СУММПРОИЗВЕСЛИ(1,'Форма по МДС 81-35.2004'!J96:J115,"Ж",'Форма по МДС 81-35.2004'!E96:E115,'Форма по МДС 81-35.2004'!M96:M115,0),3)</f>
        <v>0</v>
      </c>
      <c r="F9" s="38">
        <f>ROUND(СУММПРОИЗВЕСЛИ(1,'Форма по МДС 81-35.2004'!J96:J115,"IsMater",'Форма по МДС 81-35.2004'!E96:E115,'Форма по МДС 81-35.2004'!M96:M115,0),3)</f>
        <v>0</v>
      </c>
      <c r="G9" s="38">
        <v>0</v>
      </c>
      <c r="H9" s="38">
        <v>0</v>
      </c>
      <c r="I9" s="33">
        <f>ОКРУГЛВСЕ(SUMIF('Форма по МДС 81-35.2004'!J96:J115,"Г",'Форма по МДС 81-35.2004'!E96:E115),8)</f>
        <v>217.35</v>
      </c>
      <c r="J9" s="33">
        <v>0</v>
      </c>
      <c r="K9" s="33">
        <f>ОКРУГЛВСЕ(SUMIF('Форма по МДС 81-35.2004'!J96:J115,"Ж",'Форма по МДС 81-35.2004'!E96:E115),8)</f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</row>
    <row r="10" spans="1:31" ht="10.5">
      <c r="A10" s="38" t="str">
        <f>'Форма по МДС 81-35.2004'!A116</f>
        <v>5.</v>
      </c>
      <c r="B10" s="38">
        <f>'Форма по МДС 81-35.2004'!M116</f>
        <v>0</v>
      </c>
      <c r="C10" s="38">
        <f>ROUND(СУММПРОИЗВЕСЛИ(1,'Форма по МДС 81-35.2004'!J116:J134,"Г",'Форма по МДС 81-35.2004'!E116:E134,'Форма по МДС 81-35.2004'!M116:M134,0),3)</f>
        <v>0</v>
      </c>
      <c r="D10" s="38">
        <f>ROUND(СУММПРОИЗВЕСЛИ(1,'Форма по МДС 81-35.2004'!J116:J134,"IsMash",'Форма по МДС 81-35.2004'!E116:E134,'Форма по МДС 81-35.2004'!M116:M134,0),3)</f>
        <v>0</v>
      </c>
      <c r="E10" s="38">
        <f>ROUND(СУММПРОИЗВЕСЛИ(1,'Форма по МДС 81-35.2004'!J116:J134,"Ж",'Форма по МДС 81-35.2004'!E116:E134,'Форма по МДС 81-35.2004'!M116:M134,0),3)</f>
        <v>0</v>
      </c>
      <c r="F10" s="38">
        <f>ROUND(СУММПРОИЗВЕСЛИ(1,'Форма по МДС 81-35.2004'!J116:J134,"IsMater",'Форма по МДС 81-35.2004'!E116:E134,'Форма по МДС 81-35.2004'!M116:M134,0),3)</f>
        <v>0</v>
      </c>
      <c r="G10" s="38">
        <v>0</v>
      </c>
      <c r="H10" s="38">
        <v>0</v>
      </c>
      <c r="I10" s="33">
        <f>ОКРУГЛВСЕ(SUMIF('Форма по МДС 81-35.2004'!J116:J134,"Г",'Форма по МДС 81-35.2004'!E116:E134),8)</f>
        <v>111.78</v>
      </c>
      <c r="J10" s="33">
        <v>0</v>
      </c>
      <c r="K10" s="33">
        <f>ОКРУГЛВСЕ(SUMIF('Форма по МДС 81-35.2004'!J116:J134,"Ж",'Форма по МДС 81-35.2004'!E116:E134),8)</f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</row>
    <row r="11" spans="1:31" ht="10.5">
      <c r="A11" s="38" t="str">
        <f>'Форма по МДС 81-35.2004'!A135</f>
        <v>6.</v>
      </c>
      <c r="B11" s="38">
        <f>'Форма по МДС 81-35.2004'!M135</f>
        <v>0</v>
      </c>
      <c r="C11" s="38">
        <f>ROUND(СУММПРОИЗВЕСЛИ(1,'Форма по МДС 81-35.2004'!J135:J167,"Г",'Форма по МДС 81-35.2004'!E135:E167,'Форма по МДС 81-35.2004'!M135:M167,0),2)</f>
        <v>0</v>
      </c>
      <c r="D11" s="38">
        <f>ROUND(СУММПРОИЗВЕСЛИ(1,'Форма по МДС 81-35.2004'!J135:J167,"IsMash",'Форма по МДС 81-35.2004'!E135:E167,'Форма по МДС 81-35.2004'!M135:M167,0),2)</f>
        <v>0</v>
      </c>
      <c r="E11" s="38">
        <f>ROUND(СУММПРОИЗВЕСЛИ(1,'Форма по МДС 81-35.2004'!J135:J167,"Ж",'Форма по МДС 81-35.2004'!E135:E167,'Форма по МДС 81-35.2004'!M135:M167,0),2)</f>
        <v>0</v>
      </c>
      <c r="F11" s="38">
        <f>ROUND(СУММПРОИЗВЕСЛИ(1,'Форма по МДС 81-35.2004'!J135:J167,"IsMater",'Форма по МДС 81-35.2004'!E135:E167,'Форма по МДС 81-35.2004'!M135:M167,0),2)</f>
        <v>0</v>
      </c>
      <c r="G11" s="38">
        <v>0</v>
      </c>
      <c r="H11" s="38">
        <v>0</v>
      </c>
      <c r="I11" s="33">
        <f>ОКРУГЛВСЕ(SUMIF('Форма по МДС 81-35.2004'!J135:J167,"Г",'Форма по МДС 81-35.2004'!E135:E167),8)</f>
        <v>7.3945</v>
      </c>
      <c r="J11" s="33">
        <v>0</v>
      </c>
      <c r="K11" s="33">
        <f>ОКРУГЛВСЕ(SUMIF('Форма по МДС 81-35.2004'!J135:J167,"Ж",'Форма по МДС 81-35.2004'!E135:E167),8)</f>
        <v>0.023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</row>
    <row r="12" spans="1:31" ht="10.5">
      <c r="A12" s="38" t="str">
        <f>'Форма по МДС 81-35.2004'!A168</f>
        <v>7.</v>
      </c>
      <c r="B12" s="38">
        <f>'Форма по МДС 81-35.2004'!M168</f>
        <v>0</v>
      </c>
      <c r="C12" s="38">
        <f>ROUND(СУММПРОИЗВЕСЛИ(1,'Форма по МДС 81-35.2004'!J168:J211,"Г",'Форма по МДС 81-35.2004'!E168:E211,'Форма по МДС 81-35.2004'!M168:M211,0),2)</f>
        <v>0</v>
      </c>
      <c r="D12" s="38">
        <f>ROUND(СУММПРОИЗВЕСЛИ(1,'Форма по МДС 81-35.2004'!J168:J211,"IsMash",'Форма по МДС 81-35.2004'!E168:E211,'Форма по МДС 81-35.2004'!M168:M211,0),2)</f>
        <v>0</v>
      </c>
      <c r="E12" s="38">
        <f>ROUND(СУММПРОИЗВЕСЛИ(1,'Форма по МДС 81-35.2004'!J168:J211,"Ж",'Форма по МДС 81-35.2004'!E168:E211,'Форма по МДС 81-35.2004'!M168:M211,0),2)</f>
        <v>0</v>
      </c>
      <c r="F12" s="38">
        <f>ROUND(СУММПРОИЗВЕСЛИ(1,'Форма по МДС 81-35.2004'!J168:J211,"IsMater",'Форма по МДС 81-35.2004'!E168:E211,'Форма по МДС 81-35.2004'!M168:M211,0),2)</f>
        <v>0</v>
      </c>
      <c r="G12" s="38">
        <v>0</v>
      </c>
      <c r="H12" s="38">
        <v>0</v>
      </c>
      <c r="I12" s="33">
        <f>ОКРУГЛВСЕ(SUMIF('Форма по МДС 81-35.2004'!J168:J211,"Г",'Форма по МДС 81-35.2004'!E168:E211),8)</f>
        <v>174.225</v>
      </c>
      <c r="J12" s="33">
        <v>0</v>
      </c>
      <c r="K12" s="33">
        <f>ОКРУГЛВСЕ(SUMIF('Форма по МДС 81-35.2004'!J168:J211,"Ж",'Форма по МДС 81-35.2004'!E168:E211),8)</f>
        <v>34.6265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</row>
    <row r="13" spans="1:31" ht="10.5">
      <c r="A13" s="38" t="str">
        <f>'Форма по МДС 81-35.2004'!A212</f>
        <v>8.</v>
      </c>
      <c r="B13" s="38">
        <f>'Форма по МДС 81-35.2004'!M212</f>
        <v>0</v>
      </c>
      <c r="C13" s="38">
        <f>ROUND(СУММПРОИЗВЕСЛИ(1,'Форма по МДС 81-35.2004'!J212:J231,"Г",'Форма по МДС 81-35.2004'!E212:E231,'Форма по МДС 81-35.2004'!M212:M231,0),2)</f>
        <v>0</v>
      </c>
      <c r="D13" s="38">
        <f>ROUND(СУММПРОИЗВЕСЛИ(1,'Форма по МДС 81-35.2004'!J212:J231,"IsMash",'Форма по МДС 81-35.2004'!E212:E231,'Форма по МДС 81-35.2004'!M212:M231,0),2)</f>
        <v>0</v>
      </c>
      <c r="E13" s="38">
        <f>ROUND(СУММПРОИЗВЕСЛИ(1,'Форма по МДС 81-35.2004'!J212:J231,"Ж",'Форма по МДС 81-35.2004'!E212:E231,'Форма по МДС 81-35.2004'!M212:M231,0),2)</f>
        <v>0</v>
      </c>
      <c r="F13" s="38">
        <f>ROUND(СУММПРОИЗВЕСЛИ(1,'Форма по МДС 81-35.2004'!J212:J231,"IsMater",'Форма по МДС 81-35.2004'!E212:E231,'Форма по МДС 81-35.2004'!M212:M231,0),2)</f>
        <v>0</v>
      </c>
      <c r="G13" s="38">
        <v>0</v>
      </c>
      <c r="H13" s="38">
        <v>0</v>
      </c>
      <c r="I13" s="33">
        <f>ОКРУГЛВСЕ(SUMIF('Форма по МДС 81-35.2004'!J212:J231,"Г",'Форма по МДС 81-35.2004'!E212:E231),8)</f>
        <v>0</v>
      </c>
      <c r="J13" s="33">
        <v>0</v>
      </c>
      <c r="K13" s="33">
        <f>ОКРУГЛВСЕ(SUMIF('Форма по МДС 81-35.2004'!J212:J231,"Ж",'Форма по МДС 81-35.2004'!E212:E231),8)</f>
        <v>10.2005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ht="10.5">
      <c r="A14" s="38" t="str">
        <f>'Форма по МДС 81-35.2004'!A232</f>
        <v>9.</v>
      </c>
      <c r="B14" s="38">
        <f>'Форма по МДС 81-35.2004'!M232</f>
        <v>0</v>
      </c>
      <c r="C14" s="38">
        <f>ROUND(СУММПРОИЗВЕСЛИ(1,'Форма по МДС 81-35.2004'!J232:J269,"Г",'Форма по МДС 81-35.2004'!E232:E269,'Форма по МДС 81-35.2004'!M232:M269,0),2)</f>
        <v>0</v>
      </c>
      <c r="D14" s="38">
        <f>ROUND(СУММПРОИЗВЕСЛИ(1,'Форма по МДС 81-35.2004'!J232:J269,"IsMash",'Форма по МДС 81-35.2004'!E232:E269,'Форма по МДС 81-35.2004'!M232:M269,0),2)</f>
        <v>0</v>
      </c>
      <c r="E14" s="38">
        <f>ROUND(СУММПРОИЗВЕСЛИ(1,'Форма по МДС 81-35.2004'!J232:J269,"Ж",'Форма по МДС 81-35.2004'!E232:E269,'Форма по МДС 81-35.2004'!M232:M269,0),2)</f>
        <v>0</v>
      </c>
      <c r="F14" s="38">
        <f>ROUND(СУММПРОИЗВЕСЛИ(1,'Форма по МДС 81-35.2004'!J232:J269,"IsMater",'Форма по МДС 81-35.2004'!E232:E269,'Форма по МДС 81-35.2004'!M232:M269,0),2)</f>
        <v>0</v>
      </c>
      <c r="G14" s="38">
        <v>0</v>
      </c>
      <c r="H14" s="38">
        <v>0</v>
      </c>
      <c r="I14" s="33">
        <f>ОКРУГЛВСЕ(SUMIF('Форма по МДС 81-35.2004'!J232:J269,"Г",'Форма по МДС 81-35.2004'!E232:E269),8)</f>
        <v>211.8</v>
      </c>
      <c r="J14" s="33">
        <v>0</v>
      </c>
      <c r="K14" s="33">
        <f>ОКРУГЛВСЕ(SUMIF('Форма по МДС 81-35.2004'!J232:J269,"Ж",'Форма по МДС 81-35.2004'!E232:E269),8)</f>
        <v>24.882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</row>
    <row r="15" spans="1:31" ht="10.5">
      <c r="A15" s="38" t="str">
        <f>'Форма по МДС 81-35.2004'!A270</f>
        <v>10.</v>
      </c>
      <c r="B15" s="38">
        <f>'Форма по МДС 81-35.2004'!M270</f>
        <v>0</v>
      </c>
      <c r="C15" s="38">
        <f>ROUND(СУММПРОИЗВЕСЛИ(1,'Форма по МДС 81-35.2004'!J270:J303,"Г",'Форма по МДС 81-35.2004'!E270:E303,'Форма по МДС 81-35.2004'!M270:M303,0),2)</f>
        <v>0</v>
      </c>
      <c r="D15" s="38">
        <f>ROUND(СУММПРОИЗВЕСЛИ(1,'Форма по МДС 81-35.2004'!J270:J303,"IsMash",'Форма по МДС 81-35.2004'!E270:E303,'Форма по МДС 81-35.2004'!M270:M303,0),2)</f>
        <v>0</v>
      </c>
      <c r="E15" s="38">
        <f>ROUND(СУММПРОИЗВЕСЛИ(1,'Форма по МДС 81-35.2004'!J270:J303,"Ж",'Форма по МДС 81-35.2004'!E270:E303,'Форма по МДС 81-35.2004'!M270:M303,0),2)</f>
        <v>0</v>
      </c>
      <c r="F15" s="38">
        <f>ROUND(СУММПРОИЗВЕСЛИ(1,'Форма по МДС 81-35.2004'!J270:J303,"IsMater",'Форма по МДС 81-35.2004'!E270:E303,'Форма по МДС 81-35.2004'!M270:M303,0),2)</f>
        <v>0</v>
      </c>
      <c r="G15" s="38">
        <v>0</v>
      </c>
      <c r="H15" s="38">
        <v>0</v>
      </c>
      <c r="I15" s="33">
        <f>ОКРУГЛВСЕ(SUMIF('Форма по МДС 81-35.2004'!J270:J303,"Г",'Форма по МДС 81-35.2004'!E270:E303),8)</f>
        <v>272.0095</v>
      </c>
      <c r="J15" s="33">
        <v>0</v>
      </c>
      <c r="K15" s="33">
        <f>ОКРУГЛВСЕ(SUMIF('Форма по МДС 81-35.2004'!J270:J303,"Ж",'Форма по МДС 81-35.2004'!E270:E303),8)</f>
        <v>271.446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</row>
    <row r="16" spans="1:31" ht="10.5">
      <c r="A16" s="38" t="str">
        <f>'Форма по МДС 81-35.2004'!A304</f>
        <v>11.</v>
      </c>
      <c r="B16" s="38">
        <f>'Форма по МДС 81-35.2004'!M304</f>
        <v>0</v>
      </c>
      <c r="C16" s="38">
        <f>ROUND(СУММПРОИЗВЕСЛИ(1,'Форма по МДС 81-35.2004'!J304:J321,"Г",'Форма по МДС 81-35.2004'!E304:E321,'Форма по МДС 81-35.2004'!M304:M321,0),2)</f>
        <v>0</v>
      </c>
      <c r="D16" s="38">
        <f>ROUND(СУММПРОИЗВЕСЛИ(1,'Форма по МДС 81-35.2004'!J304:J321,"IsMash",'Форма по МДС 81-35.2004'!E304:E321,'Форма по МДС 81-35.2004'!M304:M321,0),2)</f>
        <v>0</v>
      </c>
      <c r="E16" s="38">
        <f>ROUND(СУММПРОИЗВЕСЛИ(1,'Форма по МДС 81-35.2004'!J304:J321,"Ж",'Форма по МДС 81-35.2004'!E304:E321,'Форма по МДС 81-35.2004'!M304:M321,0),2)</f>
        <v>0</v>
      </c>
      <c r="F16" s="38">
        <f>ROUND(СУММПРОИЗВЕСЛИ(1,'Форма по МДС 81-35.2004'!J304:J321,"IsMater",'Форма по МДС 81-35.2004'!E304:E321,'Форма по МДС 81-35.2004'!M304:M321,0),2)</f>
        <v>0</v>
      </c>
      <c r="G16" s="38">
        <v>0</v>
      </c>
      <c r="H16" s="38">
        <v>0</v>
      </c>
      <c r="I16" s="33">
        <f>ОКРУГЛВСЕ(SUMIF('Форма по МДС 81-35.2004'!J304:J321,"Г",'Форма по МДС 81-35.2004'!E304:E321),8)</f>
        <v>0</v>
      </c>
      <c r="J16" s="33">
        <v>0</v>
      </c>
      <c r="K16" s="33">
        <f>ОКРУГЛВСЕ(SUMIF('Форма по МДС 81-35.2004'!J304:J321,"Ж",'Форма по МДС 81-35.2004'!E304:E321),8)</f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</row>
    <row r="17" spans="1:31" ht="10.5">
      <c r="A17" s="38" t="str">
        <f>'Форма по МДС 81-35.2004'!A322</f>
        <v>12.</v>
      </c>
      <c r="B17" s="38">
        <f>'Форма по МДС 81-35.2004'!M322</f>
        <v>0</v>
      </c>
      <c r="C17" s="38">
        <f>ROUND(СУММПРОИЗВЕСЛИ(1,'Форма по МДС 81-35.2004'!J322:J339,"Г",'Форма по МДС 81-35.2004'!E322:E339,'Форма по МДС 81-35.2004'!M322:M339,0),2)</f>
        <v>0</v>
      </c>
      <c r="D17" s="38">
        <f>ROUND(СУММПРОИЗВЕСЛИ(1,'Форма по МДС 81-35.2004'!J322:J339,"IsMash",'Форма по МДС 81-35.2004'!E322:E339,'Форма по МДС 81-35.2004'!M322:M339,0),2)</f>
        <v>0</v>
      </c>
      <c r="E17" s="38">
        <f>ROUND(СУММПРОИЗВЕСЛИ(1,'Форма по МДС 81-35.2004'!J322:J339,"Ж",'Форма по МДС 81-35.2004'!E322:E339,'Форма по МДС 81-35.2004'!M322:M339,0),2)</f>
        <v>0</v>
      </c>
      <c r="F17" s="38">
        <f>ROUND(СУММПРОИЗВЕСЛИ(1,'Форма по МДС 81-35.2004'!J322:J339,"IsMater",'Форма по МДС 81-35.2004'!E322:E339,'Форма по МДС 81-35.2004'!M322:M339,0),2)</f>
        <v>0</v>
      </c>
      <c r="G17" s="38">
        <v>0</v>
      </c>
      <c r="H17" s="38">
        <v>0</v>
      </c>
      <c r="I17" s="33">
        <f>ОКРУГЛВСЕ(SUMIF('Форма по МДС 81-35.2004'!J322:J339,"Г",'Форма по МДС 81-35.2004'!E322:E339),8)</f>
        <v>0</v>
      </c>
      <c r="J17" s="33">
        <v>0</v>
      </c>
      <c r="K17" s="33">
        <f>ОКРУГЛВСЕ(SUMIF('Форма по МДС 81-35.2004'!J322:J339,"Ж",'Форма по МДС 81-35.2004'!E322:E339),8)</f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</row>
    <row r="18" spans="1:31" ht="10.5">
      <c r="A18" s="38" t="str">
        <f>'Форма по МДС 81-35.2004'!A340</f>
        <v>13.</v>
      </c>
      <c r="B18" s="38">
        <f>'Форма по МДС 81-35.2004'!M340</f>
        <v>0</v>
      </c>
      <c r="C18" s="38">
        <f>ROUND(СУММПРОИЗВЕСЛИ(1,'Форма по МДС 81-35.2004'!J340:J357,"Г",'Форма по МДС 81-35.2004'!E340:E357,'Форма по МДС 81-35.2004'!M340:M357,0),2)</f>
        <v>0</v>
      </c>
      <c r="D18" s="38">
        <f>ROUND(СУММПРОИЗВЕСЛИ(1,'Форма по МДС 81-35.2004'!J340:J357,"IsMash",'Форма по МДС 81-35.2004'!E340:E357,'Форма по МДС 81-35.2004'!M340:M357,0),2)</f>
        <v>0</v>
      </c>
      <c r="E18" s="38">
        <f>ROUND(СУММПРОИЗВЕСЛИ(1,'Форма по МДС 81-35.2004'!J340:J357,"Ж",'Форма по МДС 81-35.2004'!E340:E357,'Форма по МДС 81-35.2004'!M340:M357,0),2)</f>
        <v>0</v>
      </c>
      <c r="F18" s="38">
        <f>ROUND(СУММПРОИЗВЕСЛИ(1,'Форма по МДС 81-35.2004'!J340:J357,"IsMater",'Форма по МДС 81-35.2004'!E340:E357,'Форма по МДС 81-35.2004'!M340:M357,0),2)</f>
        <v>0</v>
      </c>
      <c r="G18" s="38">
        <v>0</v>
      </c>
      <c r="H18" s="38">
        <v>0</v>
      </c>
      <c r="I18" s="33">
        <f>ОКРУГЛВСЕ(SUMIF('Форма по МДС 81-35.2004'!J340:J357,"Г",'Форма по МДС 81-35.2004'!E340:E357),8)</f>
        <v>0</v>
      </c>
      <c r="J18" s="33">
        <v>0</v>
      </c>
      <c r="K18" s="33">
        <f>ОКРУГЛВСЕ(SUMIF('Форма по МДС 81-35.2004'!J340:J357,"Ж",'Форма по МДС 81-35.2004'!E340:E357),8)</f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</row>
    <row r="19" spans="1:31" ht="10.5">
      <c r="A19" s="38" t="str">
        <f>'Форма по МДС 81-35.2004'!A358</f>
        <v>14.</v>
      </c>
      <c r="B19" s="38">
        <f>'Форма по МДС 81-35.2004'!M358</f>
        <v>0</v>
      </c>
      <c r="C19" s="38">
        <f>ROUND(СУММПРОИЗВЕСЛИ(1,'Форма по МДС 81-35.2004'!J358:J375,"Г",'Форма по МДС 81-35.2004'!E358:E375,'Форма по МДС 81-35.2004'!M358:M375,0),2)</f>
        <v>0</v>
      </c>
      <c r="D19" s="38">
        <f>ROUND(СУММПРОИЗВЕСЛИ(1,'Форма по МДС 81-35.2004'!J358:J375,"IsMash",'Форма по МДС 81-35.2004'!E358:E375,'Форма по МДС 81-35.2004'!M358:M375,0),2)</f>
        <v>0</v>
      </c>
      <c r="E19" s="38">
        <f>ROUND(СУММПРОИЗВЕСЛИ(1,'Форма по МДС 81-35.2004'!J358:J375,"Ж",'Форма по МДС 81-35.2004'!E358:E375,'Форма по МДС 81-35.2004'!M358:M375,0),2)</f>
        <v>0</v>
      </c>
      <c r="F19" s="38">
        <f>ROUND(СУММПРОИЗВЕСЛИ(1,'Форма по МДС 81-35.2004'!J358:J375,"IsMater",'Форма по МДС 81-35.2004'!E358:E375,'Форма по МДС 81-35.2004'!M358:M375,0),2)</f>
        <v>0</v>
      </c>
      <c r="G19" s="38">
        <v>0</v>
      </c>
      <c r="H19" s="38">
        <v>0</v>
      </c>
      <c r="I19" s="33">
        <f>ОКРУГЛВСЕ(SUMIF('Форма по МДС 81-35.2004'!J358:J375,"Г",'Форма по МДС 81-35.2004'!E358:E375),8)</f>
        <v>0</v>
      </c>
      <c r="J19" s="33">
        <v>0</v>
      </c>
      <c r="K19" s="33">
        <f>ОКРУГЛВСЕ(SUMIF('Форма по МДС 81-35.2004'!J358:J375,"Ж",'Форма по МДС 81-35.2004'!E358:E375),8)</f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</row>
    <row r="20" spans="1:31" ht="10.5">
      <c r="A20" s="38" t="str">
        <f>'Форма по МДС 81-35.2004'!A376</f>
        <v>15.</v>
      </c>
      <c r="B20" s="38">
        <f>'Форма по МДС 81-35.2004'!M376</f>
        <v>0</v>
      </c>
      <c r="C20" s="38">
        <f>ROUND(СУММПРОИЗВЕСЛИ(1,'Форма по МДС 81-35.2004'!J376:J393,"Г",'Форма по МДС 81-35.2004'!E376:E393,'Форма по МДС 81-35.2004'!M376:M393,0),2)</f>
        <v>0</v>
      </c>
      <c r="D20" s="38">
        <f>ROUND(СУММПРОИЗВЕСЛИ(1,'Форма по МДС 81-35.2004'!J376:J393,"IsMash",'Форма по МДС 81-35.2004'!E376:E393,'Форма по МДС 81-35.2004'!M376:M393,0),2)</f>
        <v>0</v>
      </c>
      <c r="E20" s="38">
        <f>ROUND(СУММПРОИЗВЕСЛИ(1,'Форма по МДС 81-35.2004'!J376:J393,"Ж",'Форма по МДС 81-35.2004'!E376:E393,'Форма по МДС 81-35.2004'!M376:M393,0),2)</f>
        <v>0</v>
      </c>
      <c r="F20" s="38">
        <f>ROUND(СУММПРОИЗВЕСЛИ(1,'Форма по МДС 81-35.2004'!J376:J393,"IsMater",'Форма по МДС 81-35.2004'!E376:E393,'Форма по МДС 81-35.2004'!M376:M393,0),2)</f>
        <v>0</v>
      </c>
      <c r="G20" s="38">
        <v>0</v>
      </c>
      <c r="H20" s="38">
        <v>0</v>
      </c>
      <c r="I20" s="33">
        <f>ОКРУГЛВСЕ(SUMIF('Форма по МДС 81-35.2004'!J376:J393,"Г",'Форма по МДС 81-35.2004'!E376:E393),8)</f>
        <v>0</v>
      </c>
      <c r="J20" s="33">
        <v>0</v>
      </c>
      <c r="K20" s="33">
        <f>ОКРУГЛВСЕ(SUMIF('Форма по МДС 81-35.2004'!J376:J393,"Ж",'Форма по МДС 81-35.2004'!E376:E393),8)</f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</row>
    <row r="21" spans="1:31" ht="10.5">
      <c r="A21" s="38" t="str">
        <f>'Форма по МДС 81-35.2004'!A394</f>
        <v>16.</v>
      </c>
      <c r="B21" s="38">
        <f>'Форма по МДС 81-35.2004'!M394</f>
        <v>0</v>
      </c>
      <c r="C21" s="38">
        <f>ROUND(СУММПРОИЗВЕСЛИ(1,'Форма по МДС 81-35.2004'!J394:J411,"Г",'Форма по МДС 81-35.2004'!E394:E411,'Форма по МДС 81-35.2004'!M394:M411,0),2)</f>
        <v>0</v>
      </c>
      <c r="D21" s="38">
        <f>ROUND(СУММПРОИЗВЕСЛИ(1,'Форма по МДС 81-35.2004'!J394:J411,"IsMash",'Форма по МДС 81-35.2004'!E394:E411,'Форма по МДС 81-35.2004'!M394:M411,0),2)</f>
        <v>0</v>
      </c>
      <c r="E21" s="38">
        <f>ROUND(СУММПРОИЗВЕСЛИ(1,'Форма по МДС 81-35.2004'!J394:J411,"Ж",'Форма по МДС 81-35.2004'!E394:E411,'Форма по МДС 81-35.2004'!M394:M411,0),2)</f>
        <v>0</v>
      </c>
      <c r="F21" s="38">
        <f>ROUND(СУММПРОИЗВЕСЛИ(1,'Форма по МДС 81-35.2004'!J394:J411,"IsMater",'Форма по МДС 81-35.2004'!E394:E411,'Форма по МДС 81-35.2004'!M394:M411,0),2)</f>
        <v>0</v>
      </c>
      <c r="G21" s="38">
        <v>0</v>
      </c>
      <c r="H21" s="38">
        <v>0</v>
      </c>
      <c r="I21" s="33">
        <f>ОКРУГЛВСЕ(SUMIF('Форма по МДС 81-35.2004'!J394:J411,"Г",'Форма по МДС 81-35.2004'!E394:E411),8)</f>
        <v>0</v>
      </c>
      <c r="J21" s="33">
        <v>0</v>
      </c>
      <c r="K21" s="33">
        <f>ОКРУГЛВСЕ(SUMIF('Форма по МДС 81-35.2004'!J394:J411,"Ж",'Форма по МДС 81-35.2004'!E394:E411),8)</f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</row>
    <row r="22" spans="1:31" ht="10.5">
      <c r="A22" s="38" t="str">
        <f>'Форма по МДС 81-35.2004'!A412</f>
        <v>17.</v>
      </c>
      <c r="B22" s="38">
        <f>'Форма по МДС 81-35.2004'!M412</f>
        <v>0</v>
      </c>
      <c r="C22" s="38">
        <f>ROUND(СУММПРОИЗВЕСЛИ(1,'Форма по МДС 81-35.2004'!J412:J429,"Г",'Форма по МДС 81-35.2004'!E412:E429,'Форма по МДС 81-35.2004'!M412:M429,0),2)</f>
        <v>0</v>
      </c>
      <c r="D22" s="38">
        <f>ROUND(СУММПРОИЗВЕСЛИ(1,'Форма по МДС 81-35.2004'!J412:J429,"IsMash",'Форма по МДС 81-35.2004'!E412:E429,'Форма по МДС 81-35.2004'!M412:M429,0),2)</f>
        <v>0</v>
      </c>
      <c r="E22" s="38">
        <f>ROUND(СУММПРОИЗВЕСЛИ(1,'Форма по МДС 81-35.2004'!J412:J429,"Ж",'Форма по МДС 81-35.2004'!E412:E429,'Форма по МДС 81-35.2004'!M412:M429,0),2)</f>
        <v>0</v>
      </c>
      <c r="F22" s="38">
        <f>ROUND(СУММПРОИЗВЕСЛИ(1,'Форма по МДС 81-35.2004'!J412:J429,"IsMater",'Форма по МДС 81-35.2004'!E412:E429,'Форма по МДС 81-35.2004'!M412:M429,0),2)</f>
        <v>0</v>
      </c>
      <c r="G22" s="38">
        <v>0</v>
      </c>
      <c r="H22" s="38">
        <v>0</v>
      </c>
      <c r="I22" s="33">
        <f>ОКРУГЛВСЕ(SUMIF('Форма по МДС 81-35.2004'!J412:J429,"Г",'Форма по МДС 81-35.2004'!E412:E429),8)</f>
        <v>0</v>
      </c>
      <c r="J22" s="33">
        <v>0</v>
      </c>
      <c r="K22" s="33">
        <f>ОКРУГЛВСЕ(SUMIF('Форма по МДС 81-35.2004'!J412:J429,"Ж",'Форма по МДС 81-35.2004'!E412:E429),8)</f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</row>
    <row r="23" spans="1:31" ht="10.5">
      <c r="A23" s="38" t="str">
        <f>'Форма по МДС 81-35.2004'!A430</f>
        <v>18.</v>
      </c>
      <c r="B23" s="38">
        <f>'Форма по МДС 81-35.2004'!M430</f>
        <v>0</v>
      </c>
      <c r="C23" s="38">
        <f>ROUND(СУММПРОИЗВЕСЛИ(1,'Форма по МДС 81-35.2004'!J430:J447,"Г",'Форма по МДС 81-35.2004'!E430:E447,'Форма по МДС 81-35.2004'!M430:M447,0),2)</f>
        <v>0</v>
      </c>
      <c r="D23" s="38">
        <f>ROUND(СУММПРОИЗВЕСЛИ(1,'Форма по МДС 81-35.2004'!J430:J447,"IsMash",'Форма по МДС 81-35.2004'!E430:E447,'Форма по МДС 81-35.2004'!M430:M447,0),2)</f>
        <v>0</v>
      </c>
      <c r="E23" s="38">
        <f>ROUND(СУММПРОИЗВЕСЛИ(1,'Форма по МДС 81-35.2004'!J430:J447,"Ж",'Форма по МДС 81-35.2004'!E430:E447,'Форма по МДС 81-35.2004'!M430:M447,0),2)</f>
        <v>0</v>
      </c>
      <c r="F23" s="38">
        <f>ROUND(СУММПРОИЗВЕСЛИ(1,'Форма по МДС 81-35.2004'!J430:J447,"IsMater",'Форма по МДС 81-35.2004'!E430:E447,'Форма по МДС 81-35.2004'!M430:M447,0),2)</f>
        <v>0</v>
      </c>
      <c r="G23" s="38">
        <v>0</v>
      </c>
      <c r="H23" s="38">
        <v>0</v>
      </c>
      <c r="I23" s="33">
        <f>ОКРУГЛВСЕ(SUMIF('Форма по МДС 81-35.2004'!J430:J447,"Г",'Форма по МДС 81-35.2004'!E430:E447),8)</f>
        <v>0</v>
      </c>
      <c r="J23" s="33">
        <v>0</v>
      </c>
      <c r="K23" s="33">
        <f>ОКРУГЛВСЕ(SUMIF('Форма по МДС 81-35.2004'!J430:J447,"Ж",'Форма по МДС 81-35.2004'!E430:E447),8)</f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</row>
    <row r="24" spans="1:31" ht="10.5">
      <c r="A24" s="38" t="str">
        <f>'Форма по МДС 81-35.2004'!A448</f>
        <v>19.</v>
      </c>
      <c r="B24" s="38">
        <f>'Форма по МДС 81-35.2004'!M448</f>
        <v>0</v>
      </c>
      <c r="C24" s="38">
        <f>ROUND(СУММПРОИЗВЕСЛИ(1,'Форма по МДС 81-35.2004'!J448:J465,"Г",'Форма по МДС 81-35.2004'!E448:E465,'Форма по МДС 81-35.2004'!M448:M465,0),2)</f>
        <v>0</v>
      </c>
      <c r="D24" s="38">
        <f>ROUND(СУММПРОИЗВЕСЛИ(1,'Форма по МДС 81-35.2004'!J448:J465,"IsMash",'Форма по МДС 81-35.2004'!E448:E465,'Форма по МДС 81-35.2004'!M448:M465,0),2)</f>
        <v>0</v>
      </c>
      <c r="E24" s="38">
        <f>ROUND(СУММПРОИЗВЕСЛИ(1,'Форма по МДС 81-35.2004'!J448:J465,"Ж",'Форма по МДС 81-35.2004'!E448:E465,'Форма по МДС 81-35.2004'!M448:M465,0),2)</f>
        <v>0</v>
      </c>
      <c r="F24" s="38">
        <f>ROUND(СУММПРОИЗВЕСЛИ(1,'Форма по МДС 81-35.2004'!J448:J465,"IsMater",'Форма по МДС 81-35.2004'!E448:E465,'Форма по МДС 81-35.2004'!M448:M465,0),2)</f>
        <v>0</v>
      </c>
      <c r="G24" s="38">
        <v>0</v>
      </c>
      <c r="H24" s="38">
        <v>0</v>
      </c>
      <c r="I24" s="33">
        <f>ОКРУГЛВСЕ(SUMIF('Форма по МДС 81-35.2004'!J448:J465,"Г",'Форма по МДС 81-35.2004'!E448:E465),8)</f>
        <v>0</v>
      </c>
      <c r="J24" s="33">
        <v>0</v>
      </c>
      <c r="K24" s="33">
        <f>ОКРУГЛВСЕ(SUMIF('Форма по МДС 81-35.2004'!J448:J465,"Ж",'Форма по МДС 81-35.2004'!E448:E465),8)</f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</row>
    <row r="25" spans="1:31" ht="10.5">
      <c r="A25" s="38" t="str">
        <f>'Форма по МДС 81-35.2004'!A466</f>
        <v>20.</v>
      </c>
      <c r="B25" s="38">
        <f>'Форма по МДС 81-35.2004'!M466</f>
        <v>0</v>
      </c>
      <c r="C25" s="38">
        <f>ROUND(СУММПРОИЗВЕСЛИ(1,'Форма по МДС 81-35.2004'!J466:J483,"Г",'Форма по МДС 81-35.2004'!E466:E483,'Форма по МДС 81-35.2004'!M466:M483,0),2)</f>
        <v>0</v>
      </c>
      <c r="D25" s="38">
        <f>ROUND(СУММПРОИЗВЕСЛИ(1,'Форма по МДС 81-35.2004'!J466:J483,"IsMash",'Форма по МДС 81-35.2004'!E466:E483,'Форма по МДС 81-35.2004'!M466:M483,0),2)</f>
        <v>0</v>
      </c>
      <c r="E25" s="38">
        <f>ROUND(СУММПРОИЗВЕСЛИ(1,'Форма по МДС 81-35.2004'!J466:J483,"Ж",'Форма по МДС 81-35.2004'!E466:E483,'Форма по МДС 81-35.2004'!M466:M483,0),2)</f>
        <v>0</v>
      </c>
      <c r="F25" s="38">
        <f>ROUND(СУММПРОИЗВЕСЛИ(1,'Форма по МДС 81-35.2004'!J466:J483,"IsMater",'Форма по МДС 81-35.2004'!E466:E483,'Форма по МДС 81-35.2004'!M466:M483,0),2)</f>
        <v>0</v>
      </c>
      <c r="G25" s="38">
        <v>0</v>
      </c>
      <c r="H25" s="38">
        <v>0</v>
      </c>
      <c r="I25" s="33">
        <f>ОКРУГЛВСЕ(SUMIF('Форма по МДС 81-35.2004'!J466:J483,"Г",'Форма по МДС 81-35.2004'!E466:E483),8)</f>
        <v>0</v>
      </c>
      <c r="J25" s="33">
        <v>0</v>
      </c>
      <c r="K25" s="33">
        <f>ОКРУГЛВСЕ(SUMIF('Форма по МДС 81-35.2004'!J466:J483,"Ж",'Форма по МДС 81-35.2004'!E466:E483),8)</f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E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3" customWidth="1"/>
    <col min="2" max="16384" width="9.140625" style="38" customWidth="1"/>
  </cols>
  <sheetData>
    <row r="1" spans="1:31" s="39" customFormat="1" ht="10.5">
      <c r="A1" s="6"/>
      <c r="B1" s="39" t="s">
        <v>420</v>
      </c>
      <c r="C1" s="39" t="s">
        <v>421</v>
      </c>
      <c r="D1" s="39" t="s">
        <v>422</v>
      </c>
      <c r="E1" s="39" t="s">
        <v>423</v>
      </c>
      <c r="F1" s="39" t="s">
        <v>424</v>
      </c>
      <c r="G1" s="39" t="s">
        <v>425</v>
      </c>
      <c r="H1" s="39" t="s">
        <v>426</v>
      </c>
      <c r="I1" s="39" t="s">
        <v>427</v>
      </c>
      <c r="J1" s="39" t="s">
        <v>428</v>
      </c>
      <c r="K1" s="39" t="s">
        <v>429</v>
      </c>
      <c r="L1" s="39" t="s">
        <v>430</v>
      </c>
      <c r="M1" s="39" t="s">
        <v>431</v>
      </c>
      <c r="N1" s="39" t="s">
        <v>432</v>
      </c>
      <c r="O1" s="39" t="s">
        <v>433</v>
      </c>
      <c r="P1" s="39" t="s">
        <v>434</v>
      </c>
      <c r="Q1" s="39" t="s">
        <v>435</v>
      </c>
      <c r="R1" s="39" t="s">
        <v>436</v>
      </c>
      <c r="S1" s="39" t="s">
        <v>437</v>
      </c>
      <c r="T1" s="39" t="s">
        <v>438</v>
      </c>
      <c r="U1" s="39" t="s">
        <v>439</v>
      </c>
      <c r="V1" s="39" t="s">
        <v>440</v>
      </c>
      <c r="X1" s="39" t="s">
        <v>441</v>
      </c>
      <c r="Y1" s="39" t="s">
        <v>442</v>
      </c>
      <c r="Z1" s="39" t="s">
        <v>443</v>
      </c>
      <c r="AA1" s="39" t="s">
        <v>444</v>
      </c>
      <c r="AB1" s="39" t="s">
        <v>445</v>
      </c>
      <c r="AC1" s="39" t="s">
        <v>446</v>
      </c>
      <c r="AD1" s="39" t="s">
        <v>447</v>
      </c>
      <c r="AE1" s="39" t="s">
        <v>448</v>
      </c>
    </row>
    <row r="2" spans="1:8" ht="10.5">
      <c r="A2" s="85"/>
      <c r="B2" s="86"/>
      <c r="C2" s="86"/>
      <c r="D2" s="86"/>
      <c r="E2" s="86"/>
      <c r="F2" s="86"/>
      <c r="G2" s="86"/>
      <c r="H2" s="86"/>
    </row>
    <row r="3" spans="1:8" ht="10.5">
      <c r="A3" s="40"/>
      <c r="B3" s="87" t="s">
        <v>449</v>
      </c>
      <c r="C3" s="87"/>
      <c r="D3" s="87"/>
      <c r="E3" s="87"/>
      <c r="F3" s="87"/>
      <c r="G3" s="87"/>
      <c r="H3" s="87"/>
    </row>
    <row r="4" spans="1:8" ht="10.5">
      <c r="A4" s="40"/>
      <c r="B4" s="87" t="s">
        <v>450</v>
      </c>
      <c r="C4" s="87"/>
      <c r="D4" s="87"/>
      <c r="E4" s="87"/>
      <c r="F4" s="87"/>
      <c r="G4" s="87"/>
      <c r="H4" s="87"/>
    </row>
    <row r="5" spans="1:8" ht="10.5">
      <c r="A5" s="85"/>
      <c r="B5" s="86"/>
      <c r="C5" s="86"/>
      <c r="D5" s="86"/>
      <c r="E5" s="86"/>
      <c r="F5" s="86"/>
      <c r="G5" s="86"/>
      <c r="H5" s="86"/>
    </row>
    <row r="6" spans="1:31" ht="10.5">
      <c r="A6" s="38" t="str">
        <f>'Форма по МДС 81-35.2004'!A25</f>
        <v>1.</v>
      </c>
      <c r="B6" s="38">
        <f>'Форма по МДС 81-35.2004'!G25</f>
        <v>14616.8</v>
      </c>
      <c r="C6" s="38">
        <f>ROUND(СУММПРОИЗВЕСЛИ(1,'Форма по МДС 81-35.2004'!J25:J44,"Г",'Форма по МДС 81-35.2004'!E25:E44,'Форма по МДС 81-35.2004'!G25:G44,0),0)</f>
        <v>0</v>
      </c>
      <c r="D6" s="38">
        <f>ROUND(СУММПРОИЗВЕСЛИ(1,'Форма по МДС 81-35.2004'!J25:J44,"IsMash",'Форма по МДС 81-35.2004'!E25:E44,'Форма по МДС 81-35.2004'!G25:G44,0),0)</f>
        <v>14617</v>
      </c>
      <c r="E6" s="38">
        <f>ROUND(СУММПРОИЗВЕСЛИ(1,'Форма по МДС 81-35.2004'!J25:J44,"Ж",'Форма по МДС 81-35.2004'!E25:E44,'Форма по МДС 81-35.2004'!G25:G44,0),0)</f>
        <v>4751</v>
      </c>
      <c r="F6" s="38">
        <f>ROUND(СУММПРОИЗВЕСЛИ(1,'Форма по МДС 81-35.2004'!J25:J44,"IsMater",'Форма по МДС 81-35.2004'!E25:E44,'Форма по МДС 81-35.2004'!G25:G44,0),0)</f>
        <v>0</v>
      </c>
      <c r="G6" s="38">
        <v>0</v>
      </c>
      <c r="H6" s="38">
        <v>0</v>
      </c>
      <c r="I6" s="33">
        <f>ОКРУГЛВСЕ(SUMIF('Форма по МДС 81-35.2004'!J25:J44,"Г",'Форма по МДС 81-35.2004'!E25:E44),8)</f>
        <v>0</v>
      </c>
      <c r="J6" s="33">
        <v>0</v>
      </c>
      <c r="K6" s="33">
        <f>ОКРУГЛВСЕ(SUMIF('Форма по МДС 81-35.2004'!J25:J44,"Ж",'Форма по МДС 81-35.2004'!E25:E44),8)</f>
        <v>32.1425</v>
      </c>
      <c r="L6" s="38">
        <v>0</v>
      </c>
      <c r="M6" s="38">
        <v>0</v>
      </c>
      <c r="N6" s="38">
        <v>4062.3615</v>
      </c>
      <c r="O6" s="38">
        <v>2019.3025</v>
      </c>
      <c r="P6" s="38">
        <v>0</v>
      </c>
      <c r="Q6" s="38">
        <v>4062.3615</v>
      </c>
      <c r="R6" s="38">
        <v>0</v>
      </c>
      <c r="S6" s="38">
        <v>2019.3025</v>
      </c>
      <c r="T6" s="38">
        <v>0</v>
      </c>
      <c r="U6" s="38">
        <v>0</v>
      </c>
      <c r="V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</row>
    <row r="7" spans="1:31" ht="10.5">
      <c r="A7" s="38" t="str">
        <f>'Форма по МДС 81-35.2004'!A45</f>
        <v>2.</v>
      </c>
      <c r="B7" s="38">
        <f>'Форма по МДС 81-35.2004'!G45</f>
        <v>17922.68</v>
      </c>
      <c r="C7" s="38">
        <f>ROUND(СУММПРОИЗВЕСЛИ(1,'Форма по МДС 81-35.2004'!J45:J64,"Г",'Форма по МДС 81-35.2004'!E45:E64,'Форма по МДС 81-35.2004'!G45:G64,0),0)</f>
        <v>17923</v>
      </c>
      <c r="D7" s="38">
        <f>ROUND(СУММПРОИЗВЕСЛИ(1,'Форма по МДС 81-35.2004'!J45:J64,"IsMash",'Форма по МДС 81-35.2004'!E45:E64,'Форма по МДС 81-35.2004'!G45:G64,0),0)</f>
        <v>0</v>
      </c>
      <c r="E7" s="38">
        <f>ROUND(СУММПРОИЗВЕСЛИ(1,'Форма по МДС 81-35.2004'!J45:J64,"Ж",'Форма по МДС 81-35.2004'!E45:E64,'Форма по МДС 81-35.2004'!G45:G64,0),0)</f>
        <v>0</v>
      </c>
      <c r="F7" s="38">
        <f>ROUND(СУММПРОИЗВЕСЛИ(1,'Форма по МДС 81-35.2004'!J45:J64,"IsMater",'Форма по МДС 81-35.2004'!E45:E64,'Форма по МДС 81-35.2004'!G45:G64,0),0)</f>
        <v>0</v>
      </c>
      <c r="G7" s="38">
        <v>0</v>
      </c>
      <c r="H7" s="38">
        <v>0</v>
      </c>
      <c r="I7" s="33">
        <f>ОКРУГЛВСЕ(SUMIF('Форма по МДС 81-35.2004'!J45:J64,"Г",'Форма по МДС 81-35.2004'!E45:E64),8)</f>
        <v>217.35</v>
      </c>
      <c r="J7" s="33">
        <v>0</v>
      </c>
      <c r="K7" s="33">
        <f>ОКРУГЛВСЕ(SUMIF('Форма по МДС 81-35.2004'!J45:J64,"Ж",'Форма по МДС 81-35.2004'!E45:E64),8)</f>
        <v>0</v>
      </c>
      <c r="L7" s="38">
        <v>0</v>
      </c>
      <c r="M7" s="38">
        <v>0</v>
      </c>
      <c r="N7" s="38">
        <v>13038.156</v>
      </c>
      <c r="O7" s="38">
        <v>6926.520375</v>
      </c>
      <c r="P7" s="38">
        <v>13038.156</v>
      </c>
      <c r="Q7" s="38">
        <v>0</v>
      </c>
      <c r="R7" s="38">
        <v>6926.520375</v>
      </c>
      <c r="S7" s="38">
        <v>0</v>
      </c>
      <c r="T7" s="38">
        <v>0</v>
      </c>
      <c r="U7" s="38">
        <v>0</v>
      </c>
      <c r="V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</row>
    <row r="8" spans="1:31" ht="10.5">
      <c r="A8" s="38" t="str">
        <f>'Форма по МДС 81-35.2004'!A65</f>
        <v>3.</v>
      </c>
      <c r="B8" s="38">
        <f>'Форма по МДС 81-35.2004'!G65</f>
        <v>35277.88</v>
      </c>
      <c r="C8" s="38">
        <f>ROUND(СУММПРОИЗВЕСЛИ(1,'Форма по МДС 81-35.2004'!J65:J95,"Г",'Форма по МДС 81-35.2004'!E65:E95,'Форма по МДС 81-35.2004'!G65:G95,0),0)</f>
        <v>23501</v>
      </c>
      <c r="D8" s="38">
        <f>ROUND(СУММПРОИЗВЕСЛИ(1,'Форма по МДС 81-35.2004'!J65:J95,"IsMash",'Форма по МДС 81-35.2004'!E65:E95,'Форма по МДС 81-35.2004'!G65:G95,0),0)</f>
        <v>11678</v>
      </c>
      <c r="E8" s="38">
        <f>ROUND(СУММПРОИЗВЕСЛИ(1,'Форма по МДС 81-35.2004'!J65:J95,"Ж",'Форма по МДС 81-35.2004'!E65:E95,'Форма по МДС 81-35.2004'!G65:G95,0),0)</f>
        <v>4061</v>
      </c>
      <c r="F8" s="38">
        <f>ROUND(СУММПРОИЗВЕСЛИ(1,'Форма по МДС 81-35.2004'!J65:J95,"IsMater",'Форма по МДС 81-35.2004'!E65:E95,'Форма по МДС 81-35.2004'!G65:G95,0),0)</f>
        <v>98</v>
      </c>
      <c r="G8" s="38">
        <v>88.43</v>
      </c>
      <c r="H8" s="38">
        <v>0</v>
      </c>
      <c r="I8" s="33">
        <f>ОКРУГЛВСЕ(SUMIF('Форма по МДС 81-35.2004'!J65:J95,"Г",'Форма по МДС 81-35.2004'!E65:E95),8)</f>
        <v>238.786</v>
      </c>
      <c r="J8" s="33">
        <v>0</v>
      </c>
      <c r="K8" s="33">
        <f>ОКРУГЛВСЕ(SUMIF('Форма по МДС 81-35.2004'!J65:J95,"Ж",'Форма по МДС 81-35.2004'!E65:E95),8)</f>
        <v>27.8185</v>
      </c>
      <c r="L8" s="38">
        <v>0</v>
      </c>
      <c r="M8" s="38">
        <v>0</v>
      </c>
      <c r="N8" s="38">
        <v>32247.9027</v>
      </c>
      <c r="O8" s="38">
        <v>20850.887515</v>
      </c>
      <c r="P8" s="38">
        <v>27496.5444</v>
      </c>
      <c r="Q8" s="38">
        <v>4751.3583</v>
      </c>
      <c r="R8" s="38">
        <v>17778.74858</v>
      </c>
      <c r="S8" s="38">
        <v>3072.138935</v>
      </c>
      <c r="T8" s="38">
        <v>0</v>
      </c>
      <c r="U8" s="38">
        <v>0</v>
      </c>
      <c r="V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</row>
    <row r="9" spans="1:31" ht="10.5">
      <c r="A9" s="38" t="str">
        <f>'Форма по МДС 81-35.2004'!A96</f>
        <v>4.</v>
      </c>
      <c r="B9" s="38">
        <f>'Форма по МДС 81-35.2004'!G96</f>
        <v>17922.68</v>
      </c>
      <c r="C9" s="38">
        <f>ROUND(СУММПРОИЗВЕСЛИ(1,'Форма по МДС 81-35.2004'!J96:J115,"Г",'Форма по МДС 81-35.2004'!E96:E115,'Форма по МДС 81-35.2004'!G96:G115,0),0)</f>
        <v>17923</v>
      </c>
      <c r="D9" s="38">
        <f>ROUND(СУММПРОИЗВЕСЛИ(1,'Форма по МДС 81-35.2004'!J96:J115,"IsMash",'Форма по МДС 81-35.2004'!E96:E115,'Форма по МДС 81-35.2004'!G96:G115,0),0)</f>
        <v>0</v>
      </c>
      <c r="E9" s="38">
        <f>ROUND(СУММПРОИЗВЕСЛИ(1,'Форма по МДС 81-35.2004'!J96:J115,"Ж",'Форма по МДС 81-35.2004'!E96:E115,'Форма по МДС 81-35.2004'!G96:G115,0),0)</f>
        <v>0</v>
      </c>
      <c r="F9" s="38">
        <f>ROUND(СУММПРОИЗВЕСЛИ(1,'Форма по МДС 81-35.2004'!J96:J115,"IsMater",'Форма по МДС 81-35.2004'!E96:E115,'Форма по МДС 81-35.2004'!G96:G115,0),0)</f>
        <v>0</v>
      </c>
      <c r="G9" s="38">
        <v>0</v>
      </c>
      <c r="H9" s="38">
        <v>0</v>
      </c>
      <c r="I9" s="33">
        <f>ОКРУГЛВСЕ(SUMIF('Форма по МДС 81-35.2004'!J96:J115,"Г",'Форма по МДС 81-35.2004'!E96:E115),8)</f>
        <v>217.35</v>
      </c>
      <c r="J9" s="33">
        <v>0</v>
      </c>
      <c r="K9" s="33">
        <f>ОКРУГЛВСЕ(SUMIF('Форма по МДС 81-35.2004'!J96:J115,"Ж",'Форма по МДС 81-35.2004'!E96:E115),8)</f>
        <v>0</v>
      </c>
      <c r="L9" s="38">
        <v>0</v>
      </c>
      <c r="M9" s="38">
        <v>0</v>
      </c>
      <c r="N9" s="38">
        <v>13038.156</v>
      </c>
      <c r="O9" s="38">
        <v>6926.520375</v>
      </c>
      <c r="P9" s="38">
        <v>13038.156</v>
      </c>
      <c r="Q9" s="38">
        <v>0</v>
      </c>
      <c r="R9" s="38">
        <v>6926.520375</v>
      </c>
      <c r="S9" s="38">
        <v>0</v>
      </c>
      <c r="T9" s="38">
        <v>0</v>
      </c>
      <c r="U9" s="38">
        <v>0</v>
      </c>
      <c r="V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</row>
    <row r="10" spans="1:31" ht="10.5">
      <c r="A10" s="38" t="str">
        <f>'Форма по МДС 81-35.2004'!A116</f>
        <v>5.</v>
      </c>
      <c r="B10" s="38">
        <f>'Форма по МДС 81-35.2004'!G116</f>
        <v>8856.33</v>
      </c>
      <c r="C10" s="38">
        <f>ROUND(СУММПРОИЗВЕСЛИ(1,'Форма по МДС 81-35.2004'!J116:J134,"Г",'Форма по МДС 81-35.2004'!E116:E134,'Форма по МДС 81-35.2004'!G116:G134,0),0)</f>
        <v>8856</v>
      </c>
      <c r="D10" s="38">
        <f>ROUND(СУММПРОИЗВЕСЛИ(1,'Форма по МДС 81-35.2004'!J116:J134,"IsMash",'Форма по МДС 81-35.2004'!E116:E134,'Форма по МДС 81-35.2004'!G116:G134,0),0)</f>
        <v>0</v>
      </c>
      <c r="E10" s="38">
        <f>ROUND(СУММПРОИЗВЕСЛИ(1,'Форма по МДС 81-35.2004'!J116:J134,"Ж",'Форма по МДС 81-35.2004'!E116:E134,'Форма по МДС 81-35.2004'!G116:G134,0),0)</f>
        <v>0</v>
      </c>
      <c r="F10" s="38">
        <f>ROUND(СУММПРОИЗВЕСЛИ(1,'Форма по МДС 81-35.2004'!J116:J134,"IsMater",'Форма по МДС 81-35.2004'!E116:E134,'Форма по МДС 81-35.2004'!G116:G134,0),0)</f>
        <v>0</v>
      </c>
      <c r="G10" s="38">
        <v>0</v>
      </c>
      <c r="H10" s="38">
        <v>0</v>
      </c>
      <c r="I10" s="33">
        <f>ОКРУГЛВСЕ(SUMIF('Форма по МДС 81-35.2004'!J116:J134,"Г",'Форма по МДС 81-35.2004'!E116:E134),8)</f>
        <v>111.78</v>
      </c>
      <c r="J10" s="33">
        <v>0</v>
      </c>
      <c r="K10" s="33">
        <f>ОКРУГЛВСЕ(SUMIF('Форма по МДС 81-35.2004'!J116:J134,"Ж",'Форма по МДС 81-35.2004'!E116:E134),8)</f>
        <v>0</v>
      </c>
      <c r="L10" s="38">
        <v>0</v>
      </c>
      <c r="M10" s="38">
        <v>0</v>
      </c>
      <c r="N10" s="38">
        <v>6376.5576</v>
      </c>
      <c r="O10" s="38">
        <v>3387.546225</v>
      </c>
      <c r="P10" s="38">
        <v>6376.5576</v>
      </c>
      <c r="Q10" s="38">
        <v>0</v>
      </c>
      <c r="R10" s="38">
        <v>3387.546225</v>
      </c>
      <c r="S10" s="38">
        <v>0</v>
      </c>
      <c r="T10" s="38">
        <v>0</v>
      </c>
      <c r="U10" s="38">
        <v>0</v>
      </c>
      <c r="V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</row>
    <row r="11" spans="1:31" ht="10.5">
      <c r="A11" s="38" t="str">
        <f>'Форма по МДС 81-35.2004'!A135</f>
        <v>6.</v>
      </c>
      <c r="B11" s="38">
        <f>'Форма по МДС 81-35.2004'!G135</f>
        <v>1245.66</v>
      </c>
      <c r="C11" s="38">
        <f>ROUND(СУММПРОИЗВЕСЛИ(1,'Форма по МДС 81-35.2004'!J135:J167,"Г",'Форма по МДС 81-35.2004'!E135:E167,'Форма по МДС 81-35.2004'!G135:G167,0),0)</f>
        <v>753</v>
      </c>
      <c r="D11" s="38">
        <f>ROUND(СУММПРОИЗВЕСЛИ(1,'Форма по МДС 81-35.2004'!J135:J167,"IsMash",'Форма по МДС 81-35.2004'!E135:E167,'Форма по МДС 81-35.2004'!G135:G167,0),0)</f>
        <v>31</v>
      </c>
      <c r="E11" s="38">
        <f>ROUND(СУММПРОИЗВЕСЛИ(1,'Форма по МДС 81-35.2004'!J135:J167,"Ж",'Форма по МДС 81-35.2004'!E135:E167,'Форма по МДС 81-35.2004'!G135:G167,0),0)</f>
        <v>2</v>
      </c>
      <c r="F11" s="38">
        <f>ROUND(СУММПРОИЗВЕСЛИ(1,'Форма по МДС 81-35.2004'!J135:J167,"IsMater",'Форма по МДС 81-35.2004'!E135:E167,'Форма по МДС 81-35.2004'!G135:G167,0),0)</f>
        <v>462</v>
      </c>
      <c r="G11" s="38">
        <v>267.36</v>
      </c>
      <c r="H11" s="38">
        <v>0</v>
      </c>
      <c r="I11" s="33">
        <f>ОКРУГЛВСЕ(SUMIF('Форма по МДС 81-35.2004'!J135:J167,"Г",'Форма по МДС 81-35.2004'!E135:E167),8)</f>
        <v>7.3945</v>
      </c>
      <c r="J11" s="33">
        <v>0</v>
      </c>
      <c r="K11" s="33">
        <f>ОКРУГЛВСЕ(SUMIF('Форма по МДС 81-35.2004'!J135:J167,"Ж",'Форма по МДС 81-35.2004'!E135:E167),8)</f>
        <v>0.023</v>
      </c>
      <c r="L11" s="38">
        <v>0</v>
      </c>
      <c r="M11" s="38">
        <v>0</v>
      </c>
      <c r="N11" s="38">
        <v>869.48352</v>
      </c>
      <c r="O11" s="38">
        <v>532.48318</v>
      </c>
      <c r="P11" s="38">
        <v>867.52512</v>
      </c>
      <c r="Q11" s="38">
        <v>1.9584</v>
      </c>
      <c r="R11" s="38">
        <v>531.28383</v>
      </c>
      <c r="S11" s="38">
        <v>1.19935</v>
      </c>
      <c r="T11" s="38">
        <v>0</v>
      </c>
      <c r="U11" s="38">
        <v>0</v>
      </c>
      <c r="V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</row>
    <row r="12" spans="1:31" ht="10.5">
      <c r="A12" s="38" t="str">
        <f>'Форма по МДС 81-35.2004'!A168</f>
        <v>7.</v>
      </c>
      <c r="B12" s="38">
        <f>'Форма по МДС 81-35.2004'!G168</f>
        <v>105179.7</v>
      </c>
      <c r="C12" s="38">
        <f>ROUND(СУММПРОИЗВЕСЛИ(1,'Форма по МДС 81-35.2004'!J168:J211,"Г",'Форма по МДС 81-35.2004'!E168:E211,'Форма по МДС 81-35.2004'!G168:G211,0),0)</f>
        <v>17147</v>
      </c>
      <c r="D12" s="38">
        <f>ROUND(СУММПРОИЗВЕСЛИ(1,'Форма по МДС 81-35.2004'!J168:J211,"IsMash",'Форма по МДС 81-35.2004'!E168:E211,'Форма по МДС 81-35.2004'!G168:G211,0),0)</f>
        <v>14448</v>
      </c>
      <c r="E12" s="38">
        <f>ROUND(СУММПРОИЗВЕСЛИ(1,'Форма по МДС 81-35.2004'!J168:J211,"Ж",'Форма по МДС 81-35.2004'!E168:E211,'Форма по МДС 81-35.2004'!G168:G211,0),0)</f>
        <v>3706</v>
      </c>
      <c r="F12" s="38">
        <f>ROUND(СУММПРОИЗВЕСЛИ(1,'Форма по МДС 81-35.2004'!J168:J211,"IsMater",'Форма по МДС 81-35.2004'!E168:E211,'Форма по МДС 81-35.2004'!G168:G211,0),0)</f>
        <v>73585</v>
      </c>
      <c r="G12" s="38">
        <v>105503.56</v>
      </c>
      <c r="H12" s="38">
        <v>0</v>
      </c>
      <c r="I12" s="33">
        <f>ОКРУГЛВСЕ(SUMIF('Форма по МДС 81-35.2004'!J168:J211,"Г",'Форма по МДС 81-35.2004'!E168:E211),8)</f>
        <v>174.225</v>
      </c>
      <c r="J12" s="33">
        <v>0</v>
      </c>
      <c r="K12" s="33">
        <f>ОКРУГЛВСЕ(SUMIF('Форма по МДС 81-35.2004'!J168:J211,"Ж",'Форма по МДС 81-35.2004'!E168:E211),8)</f>
        <v>34.6265</v>
      </c>
      <c r="L12" s="38">
        <v>0</v>
      </c>
      <c r="M12" s="38">
        <v>0</v>
      </c>
      <c r="N12" s="38">
        <v>24398.0919</v>
      </c>
      <c r="O12" s="38">
        <v>15775.347455</v>
      </c>
      <c r="P12" s="38">
        <v>20062.2474</v>
      </c>
      <c r="Q12" s="38">
        <v>4335.8445</v>
      </c>
      <c r="R12" s="38">
        <v>12971.87193</v>
      </c>
      <c r="S12" s="38">
        <v>2803.475525</v>
      </c>
      <c r="T12" s="38">
        <v>0</v>
      </c>
      <c r="U12" s="38">
        <v>0</v>
      </c>
      <c r="V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</row>
    <row r="13" spans="1:31" ht="10.5">
      <c r="A13" s="38" t="str">
        <f>'Форма по МДС 81-35.2004'!A212</f>
        <v>8.</v>
      </c>
      <c r="B13" s="38">
        <f>'Форма по МДС 81-35.2004'!G212</f>
        <v>3300.98</v>
      </c>
      <c r="C13" s="38">
        <f>ROUND(СУММПРОИЗВЕСЛИ(1,'Форма по МДС 81-35.2004'!J212:J231,"Г",'Форма по МДС 81-35.2004'!E212:E231,'Форма по МДС 81-35.2004'!G212:G231,0),0)</f>
        <v>0</v>
      </c>
      <c r="D13" s="38">
        <f>ROUND(СУММПРОИЗВЕСЛИ(1,'Форма по МДС 81-35.2004'!J212:J231,"IsMash",'Форма по МДС 81-35.2004'!E212:E231,'Форма по МДС 81-35.2004'!G212:G231,0),0)</f>
        <v>3301</v>
      </c>
      <c r="E13" s="38">
        <f>ROUND(СУММПРОИЗВЕСЛИ(1,'Форма по МДС 81-35.2004'!J212:J231,"Ж",'Форма по МДС 81-35.2004'!E212:E231,'Форма по МДС 81-35.2004'!G212:G231,0),0)</f>
        <v>1508</v>
      </c>
      <c r="F13" s="38">
        <f>ROUND(СУММПРОИЗВЕСЛИ(1,'Форма по МДС 81-35.2004'!J212:J231,"IsMater",'Форма по МДС 81-35.2004'!E212:E231,'Форма по МДС 81-35.2004'!G212:G231,0),0)</f>
        <v>0</v>
      </c>
      <c r="G13" s="38">
        <v>0</v>
      </c>
      <c r="H13" s="38">
        <v>0</v>
      </c>
      <c r="I13" s="33">
        <f>ОКРУГЛВСЕ(SUMIF('Форма по МДС 81-35.2004'!J212:J231,"Г",'Форма по МДС 81-35.2004'!E212:E231),8)</f>
        <v>0</v>
      </c>
      <c r="J13" s="33">
        <v>0</v>
      </c>
      <c r="K13" s="33">
        <f>ОКРУГЛВСЕ(SUMIF('Форма по МДС 81-35.2004'!J212:J231,"Ж",'Форма по МДС 81-35.2004'!E212:E231),8)</f>
        <v>10.2005</v>
      </c>
      <c r="L13" s="38">
        <v>0</v>
      </c>
      <c r="M13" s="38">
        <v>0</v>
      </c>
      <c r="N13" s="38">
        <v>1289.2032</v>
      </c>
      <c r="O13" s="38">
        <v>640.832</v>
      </c>
      <c r="P13" s="38">
        <v>0</v>
      </c>
      <c r="Q13" s="38">
        <v>1289.2032</v>
      </c>
      <c r="R13" s="38">
        <v>0</v>
      </c>
      <c r="S13" s="38">
        <v>640.832</v>
      </c>
      <c r="T13" s="38">
        <v>0</v>
      </c>
      <c r="U13" s="38">
        <v>0</v>
      </c>
      <c r="V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ht="10.5">
      <c r="A14" s="38" t="str">
        <f>'Форма по МДС 81-35.2004'!A232</f>
        <v>9.</v>
      </c>
      <c r="B14" s="38">
        <f>'Форма по МДС 81-35.2004'!G232</f>
        <v>34131.52</v>
      </c>
      <c r="C14" s="38">
        <f>ROUND(СУММПРОИЗВЕСЛИ(1,'Форма по МДС 81-35.2004'!J232:J269,"Г",'Форма по МДС 81-35.2004'!E232:E269,'Форма по МДС 81-35.2004'!G232:G269,0),0)</f>
        <v>23179</v>
      </c>
      <c r="D14" s="38">
        <f>ROUND(СУММПРОИЗВЕСЛИ(1,'Форма по МДС 81-35.2004'!J232:J269,"IsMash",'Форма по МДС 81-35.2004'!E232:E269,'Форма по МДС 81-35.2004'!G232:G269,0),0)</f>
        <v>10952</v>
      </c>
      <c r="E14" s="38">
        <f>ROUND(СУММПРОИЗВЕСЛИ(1,'Форма по МДС 81-35.2004'!J232:J269,"Ж",'Форма по МДС 81-35.2004'!E232:E269,'Форма по МДС 81-35.2004'!G232:G269,0),0)</f>
        <v>3509</v>
      </c>
      <c r="F14" s="38">
        <f>ROUND(СУММПРОИЗВЕСЛИ(1,'Форма по МДС 81-35.2004'!J232:J269,"IsMater",'Форма по МДС 81-35.2004'!E232:E269,'Форма по МДС 81-35.2004'!G232:G269,0),0)</f>
        <v>0</v>
      </c>
      <c r="G14" s="38">
        <v>0</v>
      </c>
      <c r="H14" s="38">
        <v>0</v>
      </c>
      <c r="I14" s="33">
        <f>ОКРУГЛВСЕ(SUMIF('Форма по МДС 81-35.2004'!J232:J269,"Г",'Форма по МДС 81-35.2004'!E232:E269),8)</f>
        <v>211.8</v>
      </c>
      <c r="J14" s="33">
        <v>0</v>
      </c>
      <c r="K14" s="33">
        <f>ОКРУГЛВСЕ(SUMIF('Форма по МДС 81-35.2004'!J232:J269,"Ж",'Форма по МДС 81-35.2004'!E232:E269),8)</f>
        <v>24.882</v>
      </c>
      <c r="L14" s="38">
        <v>0</v>
      </c>
      <c r="M14" s="38">
        <v>0</v>
      </c>
      <c r="N14" s="38">
        <v>31225.6386</v>
      </c>
      <c r="O14" s="38">
        <v>20189.91077</v>
      </c>
      <c r="P14" s="38">
        <v>27119.8863</v>
      </c>
      <c r="Q14" s="38">
        <v>4105.7523</v>
      </c>
      <c r="R14" s="38">
        <v>17535.208535</v>
      </c>
      <c r="S14" s="38">
        <v>2654.702235</v>
      </c>
      <c r="T14" s="38">
        <v>0</v>
      </c>
      <c r="U14" s="38">
        <v>0</v>
      </c>
      <c r="V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</row>
    <row r="15" spans="1:31" ht="10.5">
      <c r="A15" s="38" t="str">
        <f>'Форма по МДС 81-35.2004'!A270</f>
        <v>10.</v>
      </c>
      <c r="B15" s="38">
        <f>'Форма по МДС 81-35.2004'!G270</f>
        <v>138240.59</v>
      </c>
      <c r="C15" s="38">
        <f>ROUND(СУММПРОИЗВЕСЛИ(1,'Форма по МДС 81-35.2004'!J270:J303,"Г",'Форма по МДС 81-35.2004'!E270:E303,'Форма по МДС 81-35.2004'!G270:G303,0),0)</f>
        <v>28115</v>
      </c>
      <c r="D15" s="38">
        <f>ROUND(СУММПРОИЗВЕСЛИ(1,'Форма по МДС 81-35.2004'!J270:J303,"IsMash",'Форма по МДС 81-35.2004'!E270:E303,'Форма по МДС 81-35.2004'!G270:G303,0),0)</f>
        <v>97834</v>
      </c>
      <c r="E15" s="38">
        <f>ROUND(СУММПРОИЗВЕСЛИ(1,'Форма по МДС 81-35.2004'!J270:J303,"Ж",'Форма по МДС 81-35.2004'!E270:E303,'Форма по МДС 81-35.2004'!G270:G303,0),0)</f>
        <v>20248</v>
      </c>
      <c r="F15" s="38">
        <f>ROUND(СУММПРОИЗВЕСЛИ(1,'Форма по МДС 81-35.2004'!J270:J303,"IsMater",'Форма по МДС 81-35.2004'!E270:E303,'Форма по МДС 81-35.2004'!G270:G303,0),0)</f>
        <v>12292</v>
      </c>
      <c r="G15" s="38">
        <v>178.88</v>
      </c>
      <c r="H15" s="38">
        <v>0</v>
      </c>
      <c r="I15" s="33">
        <f>ОКРУГЛВСЕ(SUMIF('Форма по МДС 81-35.2004'!J270:J303,"Г",'Форма по МДС 81-35.2004'!E270:E303),8)</f>
        <v>272.0095</v>
      </c>
      <c r="J15" s="33">
        <v>0</v>
      </c>
      <c r="K15" s="33">
        <f>ОКРУГЛВСЕ(SUMIF('Форма по МДС 81-35.2004'!J270:J303,"Ж",'Форма по МДС 81-35.2004'!E270:E303),8)</f>
        <v>271.446</v>
      </c>
      <c r="L15" s="38">
        <v>0</v>
      </c>
      <c r="M15" s="38">
        <v>0</v>
      </c>
      <c r="N15" s="38">
        <v>56584.4409</v>
      </c>
      <c r="O15" s="38">
        <v>36586.435505</v>
      </c>
      <c r="P15" s="38">
        <v>32894.433</v>
      </c>
      <c r="Q15" s="38">
        <v>23690.0079</v>
      </c>
      <c r="R15" s="38">
        <v>21268.92185</v>
      </c>
      <c r="S15" s="38">
        <v>15317.513655</v>
      </c>
      <c r="T15" s="38">
        <v>0</v>
      </c>
      <c r="U15" s="38">
        <v>0</v>
      </c>
      <c r="V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</row>
    <row r="16" spans="1:31" ht="10.5">
      <c r="A16" s="38" t="str">
        <f>'Форма по МДС 81-35.2004'!A304</f>
        <v>11.</v>
      </c>
      <c r="B16" s="38">
        <f>'Форма по МДС 81-35.2004'!G304</f>
        <v>95.55</v>
      </c>
      <c r="C16" s="38">
        <f>ROUND(СУММПРОИЗВЕСЛИ(1,'Форма по МДС 81-35.2004'!J304:J321,"Г",'Форма по МДС 81-35.2004'!E304:E321,'Форма по МДС 81-35.2004'!G304:G321,0),0)</f>
        <v>0</v>
      </c>
      <c r="D16" s="38">
        <f>ROUND(СУММПРОИЗВЕСЛИ(1,'Форма по МДС 81-35.2004'!J304:J321,"IsMash",'Форма по МДС 81-35.2004'!E304:E321,'Форма по МДС 81-35.2004'!G304:G321,0),0)</f>
        <v>0</v>
      </c>
      <c r="E16" s="38">
        <f>ROUND(СУММПРОИЗВЕСЛИ(1,'Форма по МДС 81-35.2004'!J304:J321,"Ж",'Форма по МДС 81-35.2004'!E304:E321,'Форма по МДС 81-35.2004'!G304:G321,0),0)</f>
        <v>0</v>
      </c>
      <c r="F16" s="38">
        <f>ROUND(СУММПРОИЗВЕСЛИ(1,'Форма по МДС 81-35.2004'!J304:J321,"IsMater",'Форма по МДС 81-35.2004'!E304:E321,'Форма по МДС 81-35.2004'!G304:G321,0),0)</f>
        <v>96</v>
      </c>
      <c r="G16" s="38">
        <v>0</v>
      </c>
      <c r="H16" s="38">
        <v>0</v>
      </c>
      <c r="I16" s="33">
        <f>ОКРУГЛВСЕ(SUMIF('Форма по МДС 81-35.2004'!J304:J321,"Г",'Форма по МДС 81-35.2004'!E304:E321),8)</f>
        <v>0</v>
      </c>
      <c r="J16" s="33">
        <v>0</v>
      </c>
      <c r="K16" s="33">
        <f>ОКРУГЛВСЕ(SUMIF('Форма по МДС 81-35.2004'!J304:J321,"Ж",'Форма по МДС 81-35.2004'!E304:E321),8)</f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</row>
    <row r="17" spans="1:31" ht="10.5">
      <c r="A17" s="38" t="str">
        <f>'Форма по МДС 81-35.2004'!A322</f>
        <v>12.</v>
      </c>
      <c r="B17" s="38">
        <f>'Форма по МДС 81-35.2004'!G322</f>
        <v>65</v>
      </c>
      <c r="C17" s="38">
        <f>ROUND(СУММПРОИЗВЕСЛИ(1,'Форма по МДС 81-35.2004'!J322:J339,"Г",'Форма по МДС 81-35.2004'!E322:E339,'Форма по МДС 81-35.2004'!G322:G339,0),0)</f>
        <v>0</v>
      </c>
      <c r="D17" s="38">
        <f>ROUND(СУММПРОИЗВЕСЛИ(1,'Форма по МДС 81-35.2004'!J322:J339,"IsMash",'Форма по МДС 81-35.2004'!E322:E339,'Форма по МДС 81-35.2004'!G322:G339,0),0)</f>
        <v>0</v>
      </c>
      <c r="E17" s="38">
        <f>ROUND(СУММПРОИЗВЕСЛИ(1,'Форма по МДС 81-35.2004'!J322:J339,"Ж",'Форма по МДС 81-35.2004'!E322:E339,'Форма по МДС 81-35.2004'!G322:G339,0),0)</f>
        <v>0</v>
      </c>
      <c r="F17" s="38">
        <f>ROUND(СУММПРОИЗВЕСЛИ(1,'Форма по МДС 81-35.2004'!J322:J339,"IsMater",'Форма по МДС 81-35.2004'!E322:E339,'Форма по МДС 81-35.2004'!G322:G339,0),0)</f>
        <v>65</v>
      </c>
      <c r="G17" s="38">
        <v>0</v>
      </c>
      <c r="H17" s="38">
        <v>0</v>
      </c>
      <c r="I17" s="33">
        <f>ОКРУГЛВСЕ(SUMIF('Форма по МДС 81-35.2004'!J322:J339,"Г",'Форма по МДС 81-35.2004'!E322:E339),8)</f>
        <v>0</v>
      </c>
      <c r="J17" s="33">
        <v>0</v>
      </c>
      <c r="K17" s="33">
        <f>ОКРУГЛВСЕ(SUMIF('Форма по МДС 81-35.2004'!J322:J339,"Ж",'Форма по МДС 81-35.2004'!E322:E339),8)</f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</row>
    <row r="18" spans="1:31" ht="10.5">
      <c r="A18" s="38" t="str">
        <f>'Форма по МДС 81-35.2004'!A340</f>
        <v>13.</v>
      </c>
      <c r="B18" s="38">
        <f>'Форма по МДС 81-35.2004'!G340</f>
        <v>8852.5</v>
      </c>
      <c r="C18" s="38">
        <f>ROUND(СУММПРОИЗВЕСЛИ(1,'Форма по МДС 81-35.2004'!J340:J357,"Г",'Форма по МДС 81-35.2004'!E340:E357,'Форма по МДС 81-35.2004'!G340:G357,0),0)</f>
        <v>0</v>
      </c>
      <c r="D18" s="38">
        <f>ROUND(СУММПРОИЗВЕСЛИ(1,'Форма по МДС 81-35.2004'!J340:J357,"IsMash",'Форма по МДС 81-35.2004'!E340:E357,'Форма по МДС 81-35.2004'!G340:G357,0),0)</f>
        <v>0</v>
      </c>
      <c r="E18" s="38">
        <f>ROUND(СУММПРОИЗВЕСЛИ(1,'Форма по МДС 81-35.2004'!J340:J357,"Ж",'Форма по МДС 81-35.2004'!E340:E357,'Форма по МДС 81-35.2004'!G340:G357,0),0)</f>
        <v>0</v>
      </c>
      <c r="F18" s="38">
        <f>ROUND(СУММПРОИЗВЕСЛИ(1,'Форма по МДС 81-35.2004'!J340:J357,"IsMater",'Форма по МДС 81-35.2004'!E340:E357,'Форма по МДС 81-35.2004'!G340:G357,0),0)</f>
        <v>8853</v>
      </c>
      <c r="G18" s="38">
        <v>0</v>
      </c>
      <c r="H18" s="38">
        <v>0</v>
      </c>
      <c r="I18" s="33">
        <f>ОКРУГЛВСЕ(SUMIF('Форма по МДС 81-35.2004'!J340:J357,"Г",'Форма по МДС 81-35.2004'!E340:E357),8)</f>
        <v>0</v>
      </c>
      <c r="J18" s="33">
        <v>0</v>
      </c>
      <c r="K18" s="33">
        <f>ОКРУГЛВСЕ(SUMIF('Форма по МДС 81-35.2004'!J340:J357,"Ж",'Форма по МДС 81-35.2004'!E340:E357),8)</f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</row>
    <row r="19" spans="1:31" ht="10.5">
      <c r="A19" s="38" t="str">
        <f>'Форма по МДС 81-35.2004'!A358</f>
        <v>14.</v>
      </c>
      <c r="B19" s="38">
        <f>'Форма по МДС 81-35.2004'!G358</f>
        <v>270</v>
      </c>
      <c r="C19" s="38">
        <f>ROUND(СУММПРОИЗВЕСЛИ(1,'Форма по МДС 81-35.2004'!J358:J375,"Г",'Форма по МДС 81-35.2004'!E358:E375,'Форма по МДС 81-35.2004'!G358:G375,0),0)</f>
        <v>0</v>
      </c>
      <c r="D19" s="38">
        <f>ROUND(СУММПРОИЗВЕСЛИ(1,'Форма по МДС 81-35.2004'!J358:J375,"IsMash",'Форма по МДС 81-35.2004'!E358:E375,'Форма по МДС 81-35.2004'!G358:G375,0),0)</f>
        <v>0</v>
      </c>
      <c r="E19" s="38">
        <f>ROUND(СУММПРОИЗВЕСЛИ(1,'Форма по МДС 81-35.2004'!J358:J375,"Ж",'Форма по МДС 81-35.2004'!E358:E375,'Форма по МДС 81-35.2004'!G358:G375,0),0)</f>
        <v>0</v>
      </c>
      <c r="F19" s="38">
        <f>ROUND(СУММПРОИЗВЕСЛИ(1,'Форма по МДС 81-35.2004'!J358:J375,"IsMater",'Форма по МДС 81-35.2004'!E358:E375,'Форма по МДС 81-35.2004'!G358:G375,0),0)</f>
        <v>270</v>
      </c>
      <c r="G19" s="38">
        <v>0</v>
      </c>
      <c r="H19" s="38">
        <v>0</v>
      </c>
      <c r="I19" s="33">
        <f>ОКРУГЛВСЕ(SUMIF('Форма по МДС 81-35.2004'!J358:J375,"Г",'Форма по МДС 81-35.2004'!E358:E375),8)</f>
        <v>0</v>
      </c>
      <c r="J19" s="33">
        <v>0</v>
      </c>
      <c r="K19" s="33">
        <f>ОКРУГЛВСЕ(SUMIF('Форма по МДС 81-35.2004'!J358:J375,"Ж",'Форма по МДС 81-35.2004'!E358:E375),8)</f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</row>
    <row r="20" spans="1:31" ht="10.5">
      <c r="A20" s="38" t="str">
        <f>'Форма по МДС 81-35.2004'!A376</f>
        <v>15.</v>
      </c>
      <c r="B20" s="38">
        <f>'Форма по МДС 81-35.2004'!G376</f>
        <v>62</v>
      </c>
      <c r="C20" s="38">
        <f>ROUND(СУММПРОИЗВЕСЛИ(1,'Форма по МДС 81-35.2004'!J376:J393,"Г",'Форма по МДС 81-35.2004'!E376:E393,'Форма по МДС 81-35.2004'!G376:G393,0),0)</f>
        <v>0</v>
      </c>
      <c r="D20" s="38">
        <f>ROUND(СУММПРОИЗВЕСЛИ(1,'Форма по МДС 81-35.2004'!J376:J393,"IsMash",'Форма по МДС 81-35.2004'!E376:E393,'Форма по МДС 81-35.2004'!G376:G393,0),0)</f>
        <v>0</v>
      </c>
      <c r="E20" s="38">
        <f>ROUND(СУММПРОИЗВЕСЛИ(1,'Форма по МДС 81-35.2004'!J376:J393,"Ж",'Форма по МДС 81-35.2004'!E376:E393,'Форма по МДС 81-35.2004'!G376:G393,0),0)</f>
        <v>0</v>
      </c>
      <c r="F20" s="38">
        <f>ROUND(СУММПРОИЗВЕСЛИ(1,'Форма по МДС 81-35.2004'!J376:J393,"IsMater",'Форма по МДС 81-35.2004'!E376:E393,'Форма по МДС 81-35.2004'!G376:G393,0),0)</f>
        <v>62</v>
      </c>
      <c r="G20" s="38">
        <v>0</v>
      </c>
      <c r="H20" s="38">
        <v>0</v>
      </c>
      <c r="I20" s="33">
        <f>ОКРУГЛВСЕ(SUMIF('Форма по МДС 81-35.2004'!J376:J393,"Г",'Форма по МДС 81-35.2004'!E376:E393),8)</f>
        <v>0</v>
      </c>
      <c r="J20" s="33">
        <v>0</v>
      </c>
      <c r="K20" s="33">
        <f>ОКРУГЛВСЕ(SUMIF('Форма по МДС 81-35.2004'!J376:J393,"Ж",'Форма по МДС 81-35.2004'!E376:E393),8)</f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</row>
    <row r="21" spans="1:31" ht="10.5">
      <c r="A21" s="38" t="str">
        <f>'Форма по МДС 81-35.2004'!A394</f>
        <v>16.</v>
      </c>
      <c r="B21" s="38">
        <f>'Форма по МДС 81-35.2004'!G394</f>
        <v>21.25</v>
      </c>
      <c r="C21" s="38">
        <f>ROUND(СУММПРОИЗВЕСЛИ(1,'Форма по МДС 81-35.2004'!J394:J411,"Г",'Форма по МДС 81-35.2004'!E394:E411,'Форма по МДС 81-35.2004'!G394:G411,0),0)</f>
        <v>0</v>
      </c>
      <c r="D21" s="38">
        <f>ROUND(СУММПРОИЗВЕСЛИ(1,'Форма по МДС 81-35.2004'!J394:J411,"IsMash",'Форма по МДС 81-35.2004'!E394:E411,'Форма по МДС 81-35.2004'!G394:G411,0),0)</f>
        <v>0</v>
      </c>
      <c r="E21" s="38">
        <f>ROUND(СУММПРОИЗВЕСЛИ(1,'Форма по МДС 81-35.2004'!J394:J411,"Ж",'Форма по МДС 81-35.2004'!E394:E411,'Форма по МДС 81-35.2004'!G394:G411,0),0)</f>
        <v>0</v>
      </c>
      <c r="F21" s="38">
        <f>ROUND(СУММПРОИЗВЕСЛИ(1,'Форма по МДС 81-35.2004'!J394:J411,"IsMater",'Форма по МДС 81-35.2004'!E394:E411,'Форма по МДС 81-35.2004'!G394:G411,0),0)</f>
        <v>21</v>
      </c>
      <c r="G21" s="38">
        <v>0</v>
      </c>
      <c r="H21" s="38">
        <v>0</v>
      </c>
      <c r="I21" s="33">
        <f>ОКРУГЛВСЕ(SUMIF('Форма по МДС 81-35.2004'!J394:J411,"Г",'Форма по МДС 81-35.2004'!E394:E411),8)</f>
        <v>0</v>
      </c>
      <c r="J21" s="33">
        <v>0</v>
      </c>
      <c r="K21" s="33">
        <f>ОКРУГЛВСЕ(SUMIF('Форма по МДС 81-35.2004'!J394:J411,"Ж",'Форма по МДС 81-35.2004'!E394:E411),8)</f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</row>
    <row r="22" spans="1:31" ht="10.5">
      <c r="A22" s="38" t="str">
        <f>'Форма по МДС 81-35.2004'!A412</f>
        <v>17.</v>
      </c>
      <c r="B22" s="38">
        <f>'Форма по МДС 81-35.2004'!G412</f>
        <v>50</v>
      </c>
      <c r="C22" s="38">
        <f>ROUND(СУММПРОИЗВЕСЛИ(1,'Форма по МДС 81-35.2004'!J412:J429,"Г",'Форма по МДС 81-35.2004'!E412:E429,'Форма по МДС 81-35.2004'!G412:G429,0),0)</f>
        <v>0</v>
      </c>
      <c r="D22" s="38">
        <f>ROUND(СУММПРОИЗВЕСЛИ(1,'Форма по МДС 81-35.2004'!J412:J429,"IsMash",'Форма по МДС 81-35.2004'!E412:E429,'Форма по МДС 81-35.2004'!G412:G429,0),0)</f>
        <v>0</v>
      </c>
      <c r="E22" s="38">
        <f>ROUND(СУММПРОИЗВЕСЛИ(1,'Форма по МДС 81-35.2004'!J412:J429,"Ж",'Форма по МДС 81-35.2004'!E412:E429,'Форма по МДС 81-35.2004'!G412:G429,0),0)</f>
        <v>0</v>
      </c>
      <c r="F22" s="38">
        <f>ROUND(СУММПРОИЗВЕСЛИ(1,'Форма по МДС 81-35.2004'!J412:J429,"IsMater",'Форма по МДС 81-35.2004'!E412:E429,'Форма по МДС 81-35.2004'!G412:G429,0),0)</f>
        <v>50</v>
      </c>
      <c r="G22" s="38">
        <v>0</v>
      </c>
      <c r="H22" s="38">
        <v>0</v>
      </c>
      <c r="I22" s="33">
        <f>ОКРУГЛВСЕ(SUMIF('Форма по МДС 81-35.2004'!J412:J429,"Г",'Форма по МДС 81-35.2004'!E412:E429),8)</f>
        <v>0</v>
      </c>
      <c r="J22" s="33">
        <v>0</v>
      </c>
      <c r="K22" s="33">
        <f>ОКРУГЛВСЕ(SUMIF('Форма по МДС 81-35.2004'!J412:J429,"Ж",'Форма по МДС 81-35.2004'!E412:E429),8)</f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</row>
    <row r="23" spans="1:31" ht="10.5">
      <c r="A23" s="38" t="str">
        <f>'Форма по МДС 81-35.2004'!A430</f>
        <v>18.</v>
      </c>
      <c r="B23" s="38">
        <f>'Форма по МДС 81-35.2004'!G430</f>
        <v>200</v>
      </c>
      <c r="C23" s="38">
        <f>ROUND(СУММПРОИЗВЕСЛИ(1,'Форма по МДС 81-35.2004'!J430:J447,"Г",'Форма по МДС 81-35.2004'!E430:E447,'Форма по МДС 81-35.2004'!G430:G447,0),0)</f>
        <v>0</v>
      </c>
      <c r="D23" s="38">
        <f>ROUND(СУММПРОИЗВЕСЛИ(1,'Форма по МДС 81-35.2004'!J430:J447,"IsMash",'Форма по МДС 81-35.2004'!E430:E447,'Форма по МДС 81-35.2004'!G430:G447,0),0)</f>
        <v>0</v>
      </c>
      <c r="E23" s="38">
        <f>ROUND(СУММПРОИЗВЕСЛИ(1,'Форма по МДС 81-35.2004'!J430:J447,"Ж",'Форма по МДС 81-35.2004'!E430:E447,'Форма по МДС 81-35.2004'!G430:G447,0),0)</f>
        <v>0</v>
      </c>
      <c r="F23" s="38">
        <f>ROUND(СУММПРОИЗВЕСЛИ(1,'Форма по МДС 81-35.2004'!J430:J447,"IsMater",'Форма по МДС 81-35.2004'!E430:E447,'Форма по МДС 81-35.2004'!G430:G447,0),0)</f>
        <v>200</v>
      </c>
      <c r="G23" s="38">
        <v>0</v>
      </c>
      <c r="H23" s="38">
        <v>0</v>
      </c>
      <c r="I23" s="33">
        <f>ОКРУГЛВСЕ(SUMIF('Форма по МДС 81-35.2004'!J430:J447,"Г",'Форма по МДС 81-35.2004'!E430:E447),8)</f>
        <v>0</v>
      </c>
      <c r="J23" s="33">
        <v>0</v>
      </c>
      <c r="K23" s="33">
        <f>ОКРУГЛВСЕ(SUMIF('Форма по МДС 81-35.2004'!J430:J447,"Ж",'Форма по МДС 81-35.2004'!E430:E447),8)</f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</row>
    <row r="24" spans="1:31" ht="10.5">
      <c r="A24" s="38" t="str">
        <f>'Форма по МДС 81-35.2004'!A448</f>
        <v>19.</v>
      </c>
      <c r="B24" s="38">
        <f>'Форма по МДС 81-35.2004'!G448</f>
        <v>3700</v>
      </c>
      <c r="C24" s="38">
        <f>ROUND(СУММПРОИЗВЕСЛИ(1,'Форма по МДС 81-35.2004'!J448:J465,"Г",'Форма по МДС 81-35.2004'!E448:E465,'Форма по МДС 81-35.2004'!G448:G465,0),0)</f>
        <v>0</v>
      </c>
      <c r="D24" s="38">
        <f>ROUND(СУММПРОИЗВЕСЛИ(1,'Форма по МДС 81-35.2004'!J448:J465,"IsMash",'Форма по МДС 81-35.2004'!E448:E465,'Форма по МДС 81-35.2004'!G448:G465,0),0)</f>
        <v>0</v>
      </c>
      <c r="E24" s="38">
        <f>ROUND(СУММПРОИЗВЕСЛИ(1,'Форма по МДС 81-35.2004'!J448:J465,"Ж",'Форма по МДС 81-35.2004'!E448:E465,'Форма по МДС 81-35.2004'!G448:G465,0),0)</f>
        <v>0</v>
      </c>
      <c r="F24" s="38">
        <f>ROUND(СУММПРОИЗВЕСЛИ(1,'Форма по МДС 81-35.2004'!J448:J465,"IsMater",'Форма по МДС 81-35.2004'!E448:E465,'Форма по МДС 81-35.2004'!G448:G465,0),0)</f>
        <v>3700</v>
      </c>
      <c r="G24" s="38">
        <v>0</v>
      </c>
      <c r="H24" s="38">
        <v>0</v>
      </c>
      <c r="I24" s="33">
        <f>ОКРУГЛВСЕ(SUMIF('Форма по МДС 81-35.2004'!J448:J465,"Г",'Форма по МДС 81-35.2004'!E448:E465),8)</f>
        <v>0</v>
      </c>
      <c r="J24" s="33">
        <v>0</v>
      </c>
      <c r="K24" s="33">
        <f>ОКРУГЛВСЕ(SUMIF('Форма по МДС 81-35.2004'!J448:J465,"Ж",'Форма по МДС 81-35.2004'!E448:E465),8)</f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</row>
    <row r="25" spans="1:31" ht="10.5">
      <c r="A25" s="38" t="str">
        <f>'Форма по МДС 81-35.2004'!A466</f>
        <v>20.</v>
      </c>
      <c r="B25" s="38">
        <f>'Форма по МДС 81-35.2004'!G466</f>
        <v>3500</v>
      </c>
      <c r="C25" s="38">
        <f>ROUND(СУММПРОИЗВЕСЛИ(1,'Форма по МДС 81-35.2004'!J466:J483,"Г",'Форма по МДС 81-35.2004'!E466:E483,'Форма по МДС 81-35.2004'!G466:G483,0),0)</f>
        <v>0</v>
      </c>
      <c r="D25" s="38">
        <f>ROUND(СУММПРОИЗВЕСЛИ(1,'Форма по МДС 81-35.2004'!J466:J483,"IsMash",'Форма по МДС 81-35.2004'!E466:E483,'Форма по МДС 81-35.2004'!G466:G483,0),0)</f>
        <v>0</v>
      </c>
      <c r="E25" s="38">
        <f>ROUND(СУММПРОИЗВЕСЛИ(1,'Форма по МДС 81-35.2004'!J466:J483,"Ж",'Форма по МДС 81-35.2004'!E466:E483,'Форма по МДС 81-35.2004'!G466:G483,0),0)</f>
        <v>0</v>
      </c>
      <c r="F25" s="38">
        <f>ROUND(СУММПРОИЗВЕСЛИ(1,'Форма по МДС 81-35.2004'!J466:J483,"IsMater",'Форма по МДС 81-35.2004'!E466:E483,'Форма по МДС 81-35.2004'!G466:G483,0),0)</f>
        <v>3500</v>
      </c>
      <c r="G25" s="38">
        <v>0</v>
      </c>
      <c r="H25" s="38">
        <v>0</v>
      </c>
      <c r="I25" s="33">
        <f>ОКРУГЛВСЕ(SUMIF('Форма по МДС 81-35.2004'!J466:J483,"Г",'Форма по МДС 81-35.2004'!E466:E483),8)</f>
        <v>0</v>
      </c>
      <c r="J25" s="33">
        <v>0</v>
      </c>
      <c r="K25" s="33">
        <f>ОКРУГЛВСЕ(SUMIF('Форма по МДС 81-35.2004'!J466:J483,"Ж",'Форма по МДС 81-35.2004'!E466:E483),8)</f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E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3" customWidth="1"/>
    <col min="2" max="16384" width="9.140625" style="38" customWidth="1"/>
  </cols>
  <sheetData>
    <row r="1" spans="1:31" s="39" customFormat="1" ht="10.5">
      <c r="A1" s="6"/>
      <c r="B1" s="39" t="s">
        <v>420</v>
      </c>
      <c r="C1" s="39" t="s">
        <v>421</v>
      </c>
      <c r="D1" s="39" t="s">
        <v>422</v>
      </c>
      <c r="E1" s="39" t="s">
        <v>423</v>
      </c>
      <c r="F1" s="39" t="s">
        <v>424</v>
      </c>
      <c r="G1" s="39" t="s">
        <v>425</v>
      </c>
      <c r="H1" s="39" t="s">
        <v>426</v>
      </c>
      <c r="I1" s="39" t="s">
        <v>427</v>
      </c>
      <c r="J1" s="39" t="s">
        <v>428</v>
      </c>
      <c r="K1" s="39" t="s">
        <v>429</v>
      </c>
      <c r="L1" s="39" t="s">
        <v>430</v>
      </c>
      <c r="M1" s="39" t="s">
        <v>431</v>
      </c>
      <c r="N1" s="39" t="s">
        <v>432</v>
      </c>
      <c r="O1" s="39" t="s">
        <v>433</v>
      </c>
      <c r="P1" s="39" t="s">
        <v>434</v>
      </c>
      <c r="Q1" s="39" t="s">
        <v>435</v>
      </c>
      <c r="R1" s="39" t="s">
        <v>436</v>
      </c>
      <c r="S1" s="39" t="s">
        <v>437</v>
      </c>
      <c r="T1" s="39" t="s">
        <v>438</v>
      </c>
      <c r="U1" s="39" t="s">
        <v>439</v>
      </c>
      <c r="V1" s="39" t="s">
        <v>440</v>
      </c>
      <c r="X1" s="39" t="s">
        <v>441</v>
      </c>
      <c r="Y1" s="39" t="s">
        <v>442</v>
      </c>
      <c r="Z1" s="39" t="s">
        <v>443</v>
      </c>
      <c r="AA1" s="39" t="s">
        <v>444</v>
      </c>
      <c r="AB1" s="39" t="s">
        <v>445</v>
      </c>
      <c r="AC1" s="39" t="s">
        <v>446</v>
      </c>
      <c r="AD1" s="39" t="s">
        <v>447</v>
      </c>
      <c r="AE1" s="39" t="s">
        <v>448</v>
      </c>
    </row>
    <row r="2" spans="1:8" ht="10.5">
      <c r="A2" s="85"/>
      <c r="B2" s="86"/>
      <c r="C2" s="86"/>
      <c r="D2" s="86"/>
      <c r="E2" s="86"/>
      <c r="F2" s="86"/>
      <c r="G2" s="86"/>
      <c r="H2" s="86"/>
    </row>
    <row r="3" spans="1:8" ht="10.5">
      <c r="A3" s="40"/>
      <c r="B3" s="87" t="s">
        <v>449</v>
      </c>
      <c r="C3" s="87"/>
      <c r="D3" s="87"/>
      <c r="E3" s="87"/>
      <c r="F3" s="87"/>
      <c r="G3" s="87"/>
      <c r="H3" s="87"/>
    </row>
    <row r="4" spans="1:8" ht="10.5">
      <c r="A4" s="40"/>
      <c r="B4" s="87" t="s">
        <v>450</v>
      </c>
      <c r="C4" s="87"/>
      <c r="D4" s="87"/>
      <c r="E4" s="87"/>
      <c r="F4" s="87"/>
      <c r="G4" s="87"/>
      <c r="H4" s="87"/>
    </row>
    <row r="5" spans="1:8" ht="10.5">
      <c r="A5" s="85"/>
      <c r="B5" s="86"/>
      <c r="C5" s="86"/>
      <c r="D5" s="86"/>
      <c r="E5" s="86"/>
      <c r="F5" s="86"/>
      <c r="G5" s="86"/>
      <c r="H5" s="86"/>
    </row>
    <row r="6" spans="1:31" ht="10.5">
      <c r="A6" s="38" t="str">
        <f>'Форма по МДС 81-35.2004'!A25</f>
        <v>1.</v>
      </c>
      <c r="B6" s="38">
        <f>'Форма по МДС 81-35.2004'!N25</f>
        <v>0</v>
      </c>
      <c r="C6" s="38">
        <f>ROUND(SUMIF('Форма по МДС 81-35.2004'!J25:J44,"Г",'Форма по МДС 81-35.2004'!N25:N44),2)</f>
        <v>0</v>
      </c>
      <c r="D6" s="38">
        <f>ROUND(SUMIF('Форма по МДС 81-35.2004'!J25:J44,"IsMash",'Форма по МДС 81-35.2004'!N25:N44),2)</f>
        <v>0</v>
      </c>
      <c r="E6" s="38">
        <f>'Форма по МДС 81-35.2004'!N26</f>
        <v>0</v>
      </c>
      <c r="F6" s="38">
        <f>ROUND(SUMIF('Форма по МДС 81-35.2004'!J25:J44,"IsMater",'Форма по МДС 81-35.2004'!N25:N44),2)</f>
        <v>0</v>
      </c>
      <c r="G6" s="38">
        <f>ROUND('Форма по МДС 81-35.2004'!F25*'Базовые цены за единицу'!G6,2)</f>
        <v>0</v>
      </c>
      <c r="H6" s="38">
        <f>ROUND('Форма по МДС 81-35.2004'!F25*'Базовые цены за единицу'!H6,2)</f>
        <v>0</v>
      </c>
      <c r="I6" s="33">
        <f>ОКРУГЛВСЕ(SUMIF('Форма по МДС 81-35.2004'!J25:J44,"Г",'Форма по МДС 81-35.2004'!F25:F44),8)</f>
        <v>0</v>
      </c>
      <c r="J6" s="33">
        <f>ОКРУГЛВСЕ('Форма по МДС 81-35.2004'!F25*'Базовые цены за единицу'!J6,8)</f>
        <v>0</v>
      </c>
      <c r="K6" s="33">
        <f>ОКРУГЛВСЕ(SUMIF('Форма по МДС 81-35.2004'!J25:J44,"Ж",'Форма по МДС 81-35.2004'!F25:F44),8)</f>
        <v>48.21375</v>
      </c>
      <c r="L6" s="38">
        <f>ROUND('Форма по МДС 81-35.2004'!F25*'Базовые цены за единицу'!L6,2)</f>
        <v>0</v>
      </c>
      <c r="M6" s="38">
        <f>ROUND('Форма по МДС 81-35.2004'!F25*'Базовые цены за единицу'!M6,2)</f>
        <v>0</v>
      </c>
      <c r="N6" s="38">
        <f>ROUND((C6+E6)*'Форма по МДС 81-35.2004'!M38/100,2)</f>
        <v>0</v>
      </c>
      <c r="O6" s="38">
        <f>ROUND((C6+E6)*'Форма по МДС 81-35.2004'!M41/100,2)</f>
        <v>0</v>
      </c>
      <c r="P6" s="38">
        <f>ROUND('Форма по МДС 81-35.2004'!F25*'Базовые цены за единицу'!P6,2)</f>
        <v>0</v>
      </c>
      <c r="Q6" s="38">
        <f>ROUND('Форма по МДС 81-35.2004'!F25*'Базовые цены за единицу'!Q6,2)</f>
        <v>0</v>
      </c>
      <c r="R6" s="38">
        <f>ROUND('Форма по МДС 81-35.2004'!F25*'Базовые цены за единицу'!R6,2)</f>
        <v>0</v>
      </c>
      <c r="S6" s="38">
        <f>ROUND('Форма по МДС 81-35.2004'!F25*'Базовые цены за единицу'!S6,2)</f>
        <v>0</v>
      </c>
      <c r="T6" s="38">
        <f>ROUND('Форма по МДС 81-35.2004'!F25*'Базовые цены за единицу'!T6,2)</f>
        <v>0</v>
      </c>
      <c r="U6" s="38">
        <f>ROUND('Форма по МДС 81-35.2004'!F25*'Базовые цены за единицу'!U6,2)</f>
        <v>0</v>
      </c>
      <c r="V6" s="38">
        <f>ROUND('Форма по МДС 81-35.2004'!F25*'Базовые цены за единицу'!V6,2)</f>
        <v>0</v>
      </c>
      <c r="X6" s="38">
        <f>ROUND('Форма по МДС 81-35.2004'!F25*'Базовые цены за единицу'!X6,2)</f>
        <v>0</v>
      </c>
      <c r="Y6" s="38">
        <f>IF(Определители!I6="9",ROUND((C6+E6)*(Начисления!M6/100)*('Форма по МДС 81-35.2004'!M38/100),2),0)</f>
        <v>0</v>
      </c>
      <c r="Z6" s="38">
        <f>IF(Определители!I6="9",ROUND((C6+E6)*(100-Начисления!M6/100)*('Форма по МДС 81-35.2004'!M38/100),2),0)</f>
        <v>0</v>
      </c>
      <c r="AA6" s="38">
        <f>IF(Определители!I6="9",ROUND((C6+E6)*(Начисления!M6/100)*('Форма по МДС 81-35.2004'!M41/100),2),0)</f>
        <v>0</v>
      </c>
      <c r="AB6" s="38">
        <f>IF(Определители!I6="9",ROUND((C6+E6)*(100-Начисления!M6/100)*('Форма по МДС 81-35.2004'!M41/100),2),0)</f>
        <v>0</v>
      </c>
      <c r="AC6" s="38">
        <f>IF(Определители!I6="9",ROUND(B6*Начисления!M6/100,2),0)</f>
        <v>0</v>
      </c>
      <c r="AD6" s="38">
        <f>IF(Определители!I6="9",ROUND(B6*(100-Начисления!M6)/100,2),0)</f>
        <v>0</v>
      </c>
      <c r="AE6" s="38">
        <f>ROUND('Форма по МДС 81-35.2004'!F25*'Базовые цены за единицу'!AE6,2)</f>
        <v>0</v>
      </c>
    </row>
    <row r="7" spans="1:31" ht="10.5">
      <c r="A7" s="38" t="str">
        <f>'Форма по МДС 81-35.2004'!A45</f>
        <v>2.</v>
      </c>
      <c r="B7" s="38">
        <f>'Форма по МДС 81-35.2004'!N45</f>
        <v>0</v>
      </c>
      <c r="C7" s="38">
        <f>ROUND(SUMIF('Форма по МДС 81-35.2004'!J45:J64,"Г",'Форма по МДС 81-35.2004'!N45:N64),2)</f>
        <v>0</v>
      </c>
      <c r="D7" s="38">
        <f>ROUND(SUMIF('Форма по МДС 81-35.2004'!J45:J64,"IsMash",'Форма по МДС 81-35.2004'!N45:N64),2)</f>
        <v>0</v>
      </c>
      <c r="E7" s="38">
        <f>'Форма по МДС 81-35.2004'!N47</f>
        <v>0</v>
      </c>
      <c r="F7" s="38">
        <f>ROUND(SUMIF('Форма по МДС 81-35.2004'!J45:J64,"IsMater",'Форма по МДС 81-35.2004'!N45:N64),2)</f>
        <v>0</v>
      </c>
      <c r="G7" s="38">
        <f>ROUND('Форма по МДС 81-35.2004'!F45*'Базовые цены за единицу'!G7,2)</f>
        <v>0</v>
      </c>
      <c r="H7" s="38">
        <f>ROUND('Форма по МДС 81-35.2004'!F45*'Базовые цены за единицу'!H7,2)</f>
        <v>0</v>
      </c>
      <c r="I7" s="33">
        <f>ОКРУГЛВСЕ(SUMIF('Форма по МДС 81-35.2004'!J45:J64,"Г",'Форма по МДС 81-35.2004'!F45:F64),8)</f>
        <v>163.0125</v>
      </c>
      <c r="J7" s="33">
        <f>ОКРУГЛВСЕ('Форма по МДС 81-35.2004'!F45*'Базовые цены за единицу'!J7,8)</f>
        <v>0</v>
      </c>
      <c r="K7" s="33">
        <f>ОКРУГЛВСЕ(SUMIF('Форма по МДС 81-35.2004'!J45:J64,"Ж",'Форма по МДС 81-35.2004'!F45:F64),8)</f>
        <v>0</v>
      </c>
      <c r="L7" s="38">
        <f>ROUND('Форма по МДС 81-35.2004'!F45*'Базовые цены за единицу'!L7,2)</f>
        <v>0</v>
      </c>
      <c r="M7" s="38">
        <f>ROUND('Форма по МДС 81-35.2004'!F45*'Базовые цены за единицу'!M7,2)</f>
        <v>0</v>
      </c>
      <c r="N7" s="38">
        <f>ROUND((C7+E7)*'Форма по МДС 81-35.2004'!M58/100,2)</f>
        <v>0</v>
      </c>
      <c r="O7" s="38">
        <f>ROUND((C7+E7)*'Форма по МДС 81-35.2004'!M61/100,2)</f>
        <v>0</v>
      </c>
      <c r="P7" s="38">
        <f>ROUND('Форма по МДС 81-35.2004'!F45*'Базовые цены за единицу'!P7,2)</f>
        <v>0</v>
      </c>
      <c r="Q7" s="38">
        <f>ROUND('Форма по МДС 81-35.2004'!F45*'Базовые цены за единицу'!Q7,2)</f>
        <v>0</v>
      </c>
      <c r="R7" s="38">
        <f>ROUND('Форма по МДС 81-35.2004'!F45*'Базовые цены за единицу'!R7,2)</f>
        <v>0</v>
      </c>
      <c r="S7" s="38">
        <f>ROUND('Форма по МДС 81-35.2004'!F45*'Базовые цены за единицу'!S7,2)</f>
        <v>0</v>
      </c>
      <c r="T7" s="38">
        <f>ROUND('Форма по МДС 81-35.2004'!F45*'Базовые цены за единицу'!T7,2)</f>
        <v>0</v>
      </c>
      <c r="U7" s="38">
        <f>ROUND('Форма по МДС 81-35.2004'!F45*'Базовые цены за единицу'!U7,2)</f>
        <v>0</v>
      </c>
      <c r="V7" s="38">
        <f>ROUND('Форма по МДС 81-35.2004'!F45*'Базовые цены за единицу'!V7,2)</f>
        <v>0</v>
      </c>
      <c r="X7" s="38">
        <f>ROUND('Форма по МДС 81-35.2004'!F45*'Базовые цены за единицу'!X7,2)</f>
        <v>0</v>
      </c>
      <c r="Y7" s="38">
        <f>IF(Определители!I7="9",ROUND((C7+E7)*(Начисления!M7/100)*('Форма по МДС 81-35.2004'!M58/100),2),0)</f>
        <v>0</v>
      </c>
      <c r="Z7" s="38">
        <f>IF(Определители!I7="9",ROUND((C7+E7)*(100-Начисления!M7/100)*('Форма по МДС 81-35.2004'!M58/100),2),0)</f>
        <v>0</v>
      </c>
      <c r="AA7" s="38">
        <f>IF(Определители!I7="9",ROUND((C7+E7)*(Начисления!M7/100)*('Форма по МДС 81-35.2004'!M61/100),2),0)</f>
        <v>0</v>
      </c>
      <c r="AB7" s="38">
        <f>IF(Определители!I7="9",ROUND((C7+E7)*(100-Начисления!M7/100)*('Форма по МДС 81-35.2004'!M61/100),2),0)</f>
        <v>0</v>
      </c>
      <c r="AC7" s="38">
        <f>IF(Определители!I7="9",ROUND(B7*Начисления!M7/100,2),0)</f>
        <v>0</v>
      </c>
      <c r="AD7" s="38">
        <f>IF(Определители!I7="9",ROUND(B7*(100-Начисления!M7)/100,2),0)</f>
        <v>0</v>
      </c>
      <c r="AE7" s="38">
        <f>ROUND('Форма по МДС 81-35.2004'!F45*'Базовые цены за единицу'!AE7,2)</f>
        <v>0</v>
      </c>
    </row>
    <row r="8" spans="1:31" ht="10.5">
      <c r="A8" s="38" t="str">
        <f>'Форма по МДС 81-35.2004'!A65</f>
        <v>3.</v>
      </c>
      <c r="B8" s="38">
        <f>'Форма по МДС 81-35.2004'!N65</f>
        <v>0</v>
      </c>
      <c r="C8" s="38">
        <f>ROUND(SUMIF('Форма по МДС 81-35.2004'!J65:J95,"Г",'Форма по МДС 81-35.2004'!N65:N95),2)</f>
        <v>0</v>
      </c>
      <c r="D8" s="38">
        <f>ROUND(SUMIF('Форма по МДС 81-35.2004'!J65:J95,"IsMash",'Форма по МДС 81-35.2004'!N65:N95),2)</f>
        <v>0</v>
      </c>
      <c r="E8" s="38">
        <f>'Форма по МДС 81-35.2004'!N66</f>
        <v>0</v>
      </c>
      <c r="F8" s="38">
        <f>ROUND(SUMIF('Форма по МДС 81-35.2004'!J65:J95,"IsMater",'Форма по МДС 81-35.2004'!N65:N95),2)</f>
        <v>0</v>
      </c>
      <c r="G8" s="38">
        <f>ROUND('Форма по МДС 81-35.2004'!F65*'Базовые цены за единицу'!G8,2)</f>
        <v>0</v>
      </c>
      <c r="H8" s="38">
        <f>ROUND('Форма по МДС 81-35.2004'!F65*'Базовые цены за единицу'!H8,2)</f>
        <v>0</v>
      </c>
      <c r="I8" s="33">
        <f>ОКРУГЛВСЕ(SUMIF('Форма по МДС 81-35.2004'!J65:J95,"Г",'Форма по МДС 81-35.2004'!F65:F95),8)</f>
        <v>78.79938</v>
      </c>
      <c r="J8" s="33">
        <f>ОКРУГЛВСЕ('Форма по МДС 81-35.2004'!F65*'Базовые цены за единицу'!J8,8)</f>
        <v>0</v>
      </c>
      <c r="K8" s="33">
        <f>ОКРУГЛВСЕ(SUMIF('Форма по МДС 81-35.2004'!J65:J95,"Ж",'Форма по МДС 81-35.2004'!F65:F95),8)</f>
        <v>9.180105</v>
      </c>
      <c r="L8" s="38">
        <f>ROUND('Форма по МДС 81-35.2004'!F65*'Базовые цены за единицу'!L8,2)</f>
        <v>0</v>
      </c>
      <c r="M8" s="38">
        <f>ROUND('Форма по МДС 81-35.2004'!F65*'Базовые цены за единицу'!M8,2)</f>
        <v>0</v>
      </c>
      <c r="N8" s="38">
        <f>ROUND((C8+E8)*'Форма по МДС 81-35.2004'!M89/100,2)</f>
        <v>0</v>
      </c>
      <c r="O8" s="38">
        <f>ROUND((C8+E8)*'Форма по МДС 81-35.2004'!M92/100,2)</f>
        <v>0</v>
      </c>
      <c r="P8" s="38">
        <f>ROUND('Форма по МДС 81-35.2004'!F65*'Базовые цены за единицу'!P8,2)</f>
        <v>0</v>
      </c>
      <c r="Q8" s="38">
        <f>ROUND('Форма по МДС 81-35.2004'!F65*'Базовые цены за единицу'!Q8,2)</f>
        <v>0</v>
      </c>
      <c r="R8" s="38">
        <f>ROUND('Форма по МДС 81-35.2004'!F65*'Базовые цены за единицу'!R8,2)</f>
        <v>0</v>
      </c>
      <c r="S8" s="38">
        <f>ROUND('Форма по МДС 81-35.2004'!F65*'Базовые цены за единицу'!S8,2)</f>
        <v>0</v>
      </c>
      <c r="T8" s="38">
        <f>ROUND('Форма по МДС 81-35.2004'!F65*'Базовые цены за единицу'!T8,2)</f>
        <v>0</v>
      </c>
      <c r="U8" s="38">
        <f>ROUND('Форма по МДС 81-35.2004'!F65*'Базовые цены за единицу'!U8,2)</f>
        <v>0</v>
      </c>
      <c r="V8" s="38">
        <f>ROUND('Форма по МДС 81-35.2004'!F65*'Базовые цены за единицу'!V8,2)</f>
        <v>0</v>
      </c>
      <c r="X8" s="38">
        <f>ROUND('Форма по МДС 81-35.2004'!F65*'Базовые цены за единицу'!X8,2)</f>
        <v>0</v>
      </c>
      <c r="Y8" s="38">
        <f>IF(Определители!I8="9",ROUND((C8+E8)*(Начисления!M8/100)*('Форма по МДС 81-35.2004'!M89/100),2),0)</f>
        <v>0</v>
      </c>
      <c r="Z8" s="38">
        <f>IF(Определители!I8="9",ROUND((C8+E8)*(100-Начисления!M8/100)*('Форма по МДС 81-35.2004'!M89/100),2),0)</f>
        <v>0</v>
      </c>
      <c r="AA8" s="38">
        <f>IF(Определители!I8="9",ROUND((C8+E8)*(Начисления!M8/100)*('Форма по МДС 81-35.2004'!M92/100),2),0)</f>
        <v>0</v>
      </c>
      <c r="AB8" s="38">
        <f>IF(Определители!I8="9",ROUND((C8+E8)*(100-Начисления!M8/100)*('Форма по МДС 81-35.2004'!M92/100),2),0)</f>
        <v>0</v>
      </c>
      <c r="AC8" s="38">
        <f>IF(Определители!I8="9",ROUND(B8*Начисления!M8/100,2),0)</f>
        <v>0</v>
      </c>
      <c r="AD8" s="38">
        <f>IF(Определители!I8="9",ROUND(B8*(100-Начисления!M8)/100,2),0)</f>
        <v>0</v>
      </c>
      <c r="AE8" s="38">
        <f>ROUND('Форма по МДС 81-35.2004'!F65*'Базовые цены за единицу'!AE8,2)</f>
        <v>0</v>
      </c>
    </row>
    <row r="9" spans="1:31" ht="10.5">
      <c r="A9" s="38" t="str">
        <f>'Форма по МДС 81-35.2004'!A96</f>
        <v>4.</v>
      </c>
      <c r="B9" s="38">
        <f>'Форма по МДС 81-35.2004'!N96</f>
        <v>0</v>
      </c>
      <c r="C9" s="38">
        <f>ROUND(SUMIF('Форма по МДС 81-35.2004'!J96:J115,"Г",'Форма по МДС 81-35.2004'!N96:N115),2)</f>
        <v>0</v>
      </c>
      <c r="D9" s="38">
        <f>ROUND(SUMIF('Форма по МДС 81-35.2004'!J96:J115,"IsMash",'Форма по МДС 81-35.2004'!N96:N115),2)</f>
        <v>0</v>
      </c>
      <c r="E9" s="38">
        <f>'Форма по МДС 81-35.2004'!N98</f>
        <v>0</v>
      </c>
      <c r="F9" s="38">
        <f>ROUND(SUMIF('Форма по МДС 81-35.2004'!J96:J115,"IsMater",'Форма по МДС 81-35.2004'!N96:N115),2)</f>
        <v>0</v>
      </c>
      <c r="G9" s="38">
        <f>ROUND('Форма по МДС 81-35.2004'!F96*'Базовые цены за единицу'!G9,2)</f>
        <v>0</v>
      </c>
      <c r="H9" s="38">
        <f>ROUND('Форма по МДС 81-35.2004'!F96*'Базовые цены за единицу'!H9,2)</f>
        <v>0</v>
      </c>
      <c r="I9" s="33">
        <f>ОКРУГЛВСЕ(SUMIF('Форма по МДС 81-35.2004'!J96:J115,"Г",'Форма по МДС 81-35.2004'!F96:F115),8)</f>
        <v>97.8075</v>
      </c>
      <c r="J9" s="33">
        <f>ОКРУГЛВСЕ('Форма по МДС 81-35.2004'!F96*'Базовые цены за единицу'!J9,8)</f>
        <v>0</v>
      </c>
      <c r="K9" s="33">
        <f>ОКРУГЛВСЕ(SUMIF('Форма по МДС 81-35.2004'!J96:J115,"Ж",'Форма по МДС 81-35.2004'!F96:F115),8)</f>
        <v>0</v>
      </c>
      <c r="L9" s="38">
        <f>ROUND('Форма по МДС 81-35.2004'!F96*'Базовые цены за единицу'!L9,2)</f>
        <v>0</v>
      </c>
      <c r="M9" s="38">
        <f>ROUND('Форма по МДС 81-35.2004'!F96*'Базовые цены за единицу'!M9,2)</f>
        <v>0</v>
      </c>
      <c r="N9" s="38">
        <f>ROUND((C9+E9)*'Форма по МДС 81-35.2004'!M109/100,2)</f>
        <v>0</v>
      </c>
      <c r="O9" s="38">
        <f>ROUND((C9+E9)*'Форма по МДС 81-35.2004'!M112/100,2)</f>
        <v>0</v>
      </c>
      <c r="P9" s="38">
        <f>ROUND('Форма по МДС 81-35.2004'!F96*'Базовые цены за единицу'!P9,2)</f>
        <v>0</v>
      </c>
      <c r="Q9" s="38">
        <f>ROUND('Форма по МДС 81-35.2004'!F96*'Базовые цены за единицу'!Q9,2)</f>
        <v>0</v>
      </c>
      <c r="R9" s="38">
        <f>ROUND('Форма по МДС 81-35.2004'!F96*'Базовые цены за единицу'!R9,2)</f>
        <v>0</v>
      </c>
      <c r="S9" s="38">
        <f>ROUND('Форма по МДС 81-35.2004'!F96*'Базовые цены за единицу'!S9,2)</f>
        <v>0</v>
      </c>
      <c r="T9" s="38">
        <f>ROUND('Форма по МДС 81-35.2004'!F96*'Базовые цены за единицу'!T9,2)</f>
        <v>0</v>
      </c>
      <c r="U9" s="38">
        <f>ROUND('Форма по МДС 81-35.2004'!F96*'Базовые цены за единицу'!U9,2)</f>
        <v>0</v>
      </c>
      <c r="V9" s="38">
        <f>ROUND('Форма по МДС 81-35.2004'!F96*'Базовые цены за единицу'!V9,2)</f>
        <v>0</v>
      </c>
      <c r="X9" s="38">
        <f>ROUND('Форма по МДС 81-35.2004'!F96*'Базовые цены за единицу'!X9,2)</f>
        <v>0</v>
      </c>
      <c r="Y9" s="38">
        <f>IF(Определители!I9="9",ROUND((C9+E9)*(Начисления!M9/100)*('Форма по МДС 81-35.2004'!M109/100),2),0)</f>
        <v>0</v>
      </c>
      <c r="Z9" s="38">
        <f>IF(Определители!I9="9",ROUND((C9+E9)*(100-Начисления!M9/100)*('Форма по МДС 81-35.2004'!M109/100),2),0)</f>
        <v>0</v>
      </c>
      <c r="AA9" s="38">
        <f>IF(Определители!I9="9",ROUND((C9+E9)*(Начисления!M9/100)*('Форма по МДС 81-35.2004'!M112/100),2),0)</f>
        <v>0</v>
      </c>
      <c r="AB9" s="38">
        <f>IF(Определители!I9="9",ROUND((C9+E9)*(100-Начисления!M9/100)*('Форма по МДС 81-35.2004'!M112/100),2),0)</f>
        <v>0</v>
      </c>
      <c r="AC9" s="38">
        <f>IF(Определители!I9="9",ROUND(B9*Начисления!M9/100,2),0)</f>
        <v>0</v>
      </c>
      <c r="AD9" s="38">
        <f>IF(Определители!I9="9",ROUND(B9*(100-Начисления!M9)/100,2),0)</f>
        <v>0</v>
      </c>
      <c r="AE9" s="38">
        <f>ROUND('Форма по МДС 81-35.2004'!F96*'Базовые цены за единицу'!AE9,2)</f>
        <v>0</v>
      </c>
    </row>
    <row r="10" spans="1:31" ht="10.5">
      <c r="A10" s="38" t="str">
        <f>'Форма по МДС 81-35.2004'!A116</f>
        <v>5.</v>
      </c>
      <c r="B10" s="38">
        <f>'Форма по МДС 81-35.2004'!N116</f>
        <v>0</v>
      </c>
      <c r="C10" s="38">
        <f>ROUND(SUMIF('Форма по МДС 81-35.2004'!J116:J134,"Г",'Форма по МДС 81-35.2004'!N116:N134),2)</f>
        <v>0</v>
      </c>
      <c r="D10" s="38">
        <f>ROUND(SUMIF('Форма по МДС 81-35.2004'!J116:J134,"IsMash",'Форма по МДС 81-35.2004'!N116:N134),2)</f>
        <v>0</v>
      </c>
      <c r="E10" s="38">
        <f>'Форма по МДС 81-35.2004'!N117</f>
        <v>0</v>
      </c>
      <c r="F10" s="38">
        <f>ROUND(SUMIF('Форма по МДС 81-35.2004'!J116:J134,"IsMater",'Форма по МДС 81-35.2004'!N116:N134),2)</f>
        <v>0</v>
      </c>
      <c r="G10" s="38">
        <f>ROUND('Форма по МДС 81-35.2004'!F116*'Базовые цены за единицу'!G10,2)</f>
        <v>0</v>
      </c>
      <c r="H10" s="38">
        <f>ROUND('Форма по МДС 81-35.2004'!F116*'Базовые цены за единицу'!H10,2)</f>
        <v>0</v>
      </c>
      <c r="I10" s="33">
        <f>ОКРУГЛВСЕ(SUMIF('Форма по МДС 81-35.2004'!J116:J134,"Г",'Форма по МДС 81-35.2004'!F116:F134),8)</f>
        <v>50.301</v>
      </c>
      <c r="J10" s="33">
        <f>ОКРУГЛВСЕ('Форма по МДС 81-35.2004'!F116*'Базовые цены за единицу'!J10,8)</f>
        <v>0</v>
      </c>
      <c r="K10" s="33">
        <f>ОКРУГЛВСЕ(SUMIF('Форма по МДС 81-35.2004'!J116:J134,"Ж",'Форма по МДС 81-35.2004'!F116:F134),8)</f>
        <v>0</v>
      </c>
      <c r="L10" s="38">
        <f>ROUND('Форма по МДС 81-35.2004'!F116*'Базовые цены за единицу'!L10,2)</f>
        <v>0</v>
      </c>
      <c r="M10" s="38">
        <f>ROUND('Форма по МДС 81-35.2004'!F116*'Базовые цены за единицу'!M10,2)</f>
        <v>0</v>
      </c>
      <c r="N10" s="38">
        <f>ROUND((C10+E10)*'Форма по МДС 81-35.2004'!M128/100,2)</f>
        <v>0</v>
      </c>
      <c r="O10" s="38">
        <f>ROUND((C10+E10)*'Форма по МДС 81-35.2004'!M131/100,2)</f>
        <v>0</v>
      </c>
      <c r="P10" s="38">
        <f>ROUND('Форма по МДС 81-35.2004'!F116*'Базовые цены за единицу'!P10,2)</f>
        <v>0</v>
      </c>
      <c r="Q10" s="38">
        <f>ROUND('Форма по МДС 81-35.2004'!F116*'Базовые цены за единицу'!Q10,2)</f>
        <v>0</v>
      </c>
      <c r="R10" s="38">
        <f>ROUND('Форма по МДС 81-35.2004'!F116*'Базовые цены за единицу'!R10,2)</f>
        <v>0</v>
      </c>
      <c r="S10" s="38">
        <f>ROUND('Форма по МДС 81-35.2004'!F116*'Базовые цены за единицу'!S10,2)</f>
        <v>0</v>
      </c>
      <c r="T10" s="38">
        <f>ROUND('Форма по МДС 81-35.2004'!F116*'Базовые цены за единицу'!T10,2)</f>
        <v>0</v>
      </c>
      <c r="U10" s="38">
        <f>ROUND('Форма по МДС 81-35.2004'!F116*'Базовые цены за единицу'!U10,2)</f>
        <v>0</v>
      </c>
      <c r="V10" s="38">
        <f>ROUND('Форма по МДС 81-35.2004'!F116*'Базовые цены за единицу'!V10,2)</f>
        <v>0</v>
      </c>
      <c r="X10" s="38">
        <f>ROUND('Форма по МДС 81-35.2004'!F116*'Базовые цены за единицу'!X10,2)</f>
        <v>0</v>
      </c>
      <c r="Y10" s="38">
        <f>IF(Определители!I10="9",ROUND((C10+E10)*(Начисления!M10/100)*('Форма по МДС 81-35.2004'!M128/100),2),0)</f>
        <v>0</v>
      </c>
      <c r="Z10" s="38">
        <f>IF(Определители!I10="9",ROUND((C10+E10)*(100-Начисления!M10/100)*('Форма по МДС 81-35.2004'!M128/100),2),0)</f>
        <v>0</v>
      </c>
      <c r="AA10" s="38">
        <f>IF(Определители!I10="9",ROUND((C10+E10)*(Начисления!M10/100)*('Форма по МДС 81-35.2004'!M131/100),2),0)</f>
        <v>0</v>
      </c>
      <c r="AB10" s="38">
        <f>IF(Определители!I10="9",ROUND((C10+E10)*(100-Начисления!M10/100)*('Форма по МДС 81-35.2004'!M131/100),2),0)</f>
        <v>0</v>
      </c>
      <c r="AC10" s="38">
        <f>IF(Определители!I10="9",ROUND(B10*Начисления!M10/100,2),0)</f>
        <v>0</v>
      </c>
      <c r="AD10" s="38">
        <f>IF(Определители!I10="9",ROUND(B10*(100-Начисления!M10)/100,2),0)</f>
        <v>0</v>
      </c>
      <c r="AE10" s="38">
        <f>ROUND('Форма по МДС 81-35.2004'!F116*'Базовые цены за единицу'!AE10,2)</f>
        <v>0</v>
      </c>
    </row>
    <row r="11" spans="1:31" ht="10.5">
      <c r="A11" s="38" t="str">
        <f>'Форма по МДС 81-35.2004'!A135</f>
        <v>6.</v>
      </c>
      <c r="B11" s="38">
        <f>'Форма по МДС 81-35.2004'!N135</f>
        <v>0</v>
      </c>
      <c r="C11" s="38">
        <f>ROUND(SUMIF('Форма по МДС 81-35.2004'!J135:J167,"Г",'Форма по МДС 81-35.2004'!N135:N167),2)</f>
        <v>0</v>
      </c>
      <c r="D11" s="38">
        <f>ROUND(SUMIF('Форма по МДС 81-35.2004'!J135:J167,"IsMash",'Форма по МДС 81-35.2004'!N135:N167),2)</f>
        <v>0</v>
      </c>
      <c r="E11" s="38">
        <f>'Форма по МДС 81-35.2004'!N136</f>
        <v>0</v>
      </c>
      <c r="F11" s="38">
        <f>ROUND(SUMIF('Форма по МДС 81-35.2004'!J135:J167,"IsMater",'Форма по МДС 81-35.2004'!N135:N167),2)</f>
        <v>0</v>
      </c>
      <c r="G11" s="38">
        <f>ROUND('Форма по МДС 81-35.2004'!F135*'Базовые цены за единицу'!G11,2)</f>
        <v>0</v>
      </c>
      <c r="H11" s="38">
        <f>ROUND('Форма по МДС 81-35.2004'!F135*'Базовые цены за единицу'!H11,2)</f>
        <v>0</v>
      </c>
      <c r="I11" s="33">
        <f>ОКРУГЛВСЕ(SUMIF('Форма по МДС 81-35.2004'!J135:J167,"Г",'Форма по МДС 81-35.2004'!F135:F167),8)</f>
        <v>14.789</v>
      </c>
      <c r="J11" s="33">
        <f>ОКРУГЛВСЕ('Форма по МДС 81-35.2004'!F135*'Базовые цены за единицу'!J11,8)</f>
        <v>0</v>
      </c>
      <c r="K11" s="33">
        <f>ОКРУГЛВСЕ(SUMIF('Форма по МДС 81-35.2004'!J135:J167,"Ж",'Форма по МДС 81-35.2004'!F135:F167),8)</f>
        <v>0.046</v>
      </c>
      <c r="L11" s="38">
        <f>ROUND('Форма по МДС 81-35.2004'!F135*'Базовые цены за единицу'!L11,2)</f>
        <v>0</v>
      </c>
      <c r="M11" s="38">
        <f>ROUND('Форма по МДС 81-35.2004'!F135*'Базовые цены за единицу'!M11,2)</f>
        <v>0</v>
      </c>
      <c r="N11" s="38">
        <f>ROUND((C11+E11)*'Форма по МДС 81-35.2004'!M161/100,2)</f>
        <v>0</v>
      </c>
      <c r="O11" s="38">
        <f>ROUND((C11+E11)*'Форма по МДС 81-35.2004'!M164/100,2)</f>
        <v>0</v>
      </c>
      <c r="P11" s="38">
        <f>ROUND('Форма по МДС 81-35.2004'!F135*'Базовые цены за единицу'!P11,2)</f>
        <v>0</v>
      </c>
      <c r="Q11" s="38">
        <f>ROUND('Форма по МДС 81-35.2004'!F135*'Базовые цены за единицу'!Q11,2)</f>
        <v>0</v>
      </c>
      <c r="R11" s="38">
        <f>ROUND('Форма по МДС 81-35.2004'!F135*'Базовые цены за единицу'!R11,2)</f>
        <v>0</v>
      </c>
      <c r="S11" s="38">
        <f>ROUND('Форма по МДС 81-35.2004'!F135*'Базовые цены за единицу'!S11,2)</f>
        <v>0</v>
      </c>
      <c r="T11" s="38">
        <f>ROUND('Форма по МДС 81-35.2004'!F135*'Базовые цены за единицу'!T11,2)</f>
        <v>0</v>
      </c>
      <c r="U11" s="38">
        <f>ROUND('Форма по МДС 81-35.2004'!F135*'Базовые цены за единицу'!U11,2)</f>
        <v>0</v>
      </c>
      <c r="V11" s="38">
        <f>ROUND('Форма по МДС 81-35.2004'!F135*'Базовые цены за единицу'!V11,2)</f>
        <v>0</v>
      </c>
      <c r="X11" s="38">
        <f>ROUND('Форма по МДС 81-35.2004'!F135*'Базовые цены за единицу'!X11,2)</f>
        <v>0</v>
      </c>
      <c r="Y11" s="38">
        <f>IF(Определители!I11="9",ROUND((C11+E11)*(Начисления!M11/100)*('Форма по МДС 81-35.2004'!M161/100),2),0)</f>
        <v>0</v>
      </c>
      <c r="Z11" s="38">
        <f>IF(Определители!I11="9",ROUND((C11+E11)*(100-Начисления!M11/100)*('Форма по МДС 81-35.2004'!M161/100),2),0)</f>
        <v>0</v>
      </c>
      <c r="AA11" s="38">
        <f>IF(Определители!I11="9",ROUND((C11+E11)*(Начисления!M11/100)*('Форма по МДС 81-35.2004'!M164/100),2),0)</f>
        <v>0</v>
      </c>
      <c r="AB11" s="38">
        <f>IF(Определители!I11="9",ROUND((C11+E11)*(100-Начисления!M11/100)*('Форма по МДС 81-35.2004'!M164/100),2),0)</f>
        <v>0</v>
      </c>
      <c r="AC11" s="38">
        <f>IF(Определители!I11="9",ROUND(B11*Начисления!M11/100,2),0)</f>
        <v>0</v>
      </c>
      <c r="AD11" s="38">
        <f>IF(Определители!I11="9",ROUND(B11*(100-Начисления!M11)/100,2),0)</f>
        <v>0</v>
      </c>
      <c r="AE11" s="38">
        <f>ROUND('Форма по МДС 81-35.2004'!F135*'Базовые цены за единицу'!AE11,2)</f>
        <v>0</v>
      </c>
    </row>
    <row r="12" spans="1:31" ht="10.5">
      <c r="A12" s="38" t="str">
        <f>'Форма по МДС 81-35.2004'!A168</f>
        <v>7.</v>
      </c>
      <c r="B12" s="38">
        <f>'Форма по МДС 81-35.2004'!N168</f>
        <v>0</v>
      </c>
      <c r="C12" s="38">
        <f>ROUND(SUMIF('Форма по МДС 81-35.2004'!J168:J211,"Г",'Форма по МДС 81-35.2004'!N168:N211),2)</f>
        <v>0</v>
      </c>
      <c r="D12" s="38">
        <f>ROUND(SUMIF('Форма по МДС 81-35.2004'!J168:J211,"IsMash",'Форма по МДС 81-35.2004'!N168:N211),2)</f>
        <v>0</v>
      </c>
      <c r="E12" s="38">
        <f>'Форма по МДС 81-35.2004'!N169</f>
        <v>0</v>
      </c>
      <c r="F12" s="38">
        <f>ROUND(SUMIF('Форма по МДС 81-35.2004'!J168:J211,"IsMater",'Форма по МДС 81-35.2004'!N168:N211),2)</f>
        <v>0</v>
      </c>
      <c r="G12" s="38">
        <f>ROUND('Форма по МДС 81-35.2004'!F168*'Базовые цены за единицу'!G12,2)</f>
        <v>0</v>
      </c>
      <c r="H12" s="38">
        <f>ROUND('Форма по МДС 81-35.2004'!F168*'Базовые цены за единицу'!H12,2)</f>
        <v>0</v>
      </c>
      <c r="I12" s="33">
        <f>ОКРУГЛВСЕ(SUMIF('Форма по МДС 81-35.2004'!J168:J211,"Г",'Форма по МДС 81-35.2004'!F168:F211),8)</f>
        <v>34.845</v>
      </c>
      <c r="J12" s="33">
        <f>ОКРУГЛВСЕ('Форма по МДС 81-35.2004'!F168*'Базовые цены за единицу'!J12,8)</f>
        <v>0</v>
      </c>
      <c r="K12" s="33">
        <f>ОКРУГЛВСЕ(SUMIF('Форма по МДС 81-35.2004'!J168:J211,"Ж",'Форма по МДС 81-35.2004'!F168:F211),8)</f>
        <v>6.9253</v>
      </c>
      <c r="L12" s="38">
        <f>ROUND('Форма по МДС 81-35.2004'!F168*'Базовые цены за единицу'!L12,2)</f>
        <v>0</v>
      </c>
      <c r="M12" s="38">
        <f>ROUND('Форма по МДС 81-35.2004'!F168*'Базовые цены за единицу'!M12,2)</f>
        <v>0</v>
      </c>
      <c r="N12" s="38">
        <f>ROUND((C12+E12)*'Форма по МДС 81-35.2004'!M205/100,2)</f>
        <v>0</v>
      </c>
      <c r="O12" s="38">
        <f>ROUND((C12+E12)*'Форма по МДС 81-35.2004'!M208/100,2)</f>
        <v>0</v>
      </c>
      <c r="P12" s="38">
        <f>ROUND('Форма по МДС 81-35.2004'!F168*'Базовые цены за единицу'!P12,2)</f>
        <v>0</v>
      </c>
      <c r="Q12" s="38">
        <f>ROUND('Форма по МДС 81-35.2004'!F168*'Базовые цены за единицу'!Q12,2)</f>
        <v>0</v>
      </c>
      <c r="R12" s="38">
        <f>ROUND('Форма по МДС 81-35.2004'!F168*'Базовые цены за единицу'!R12,2)</f>
        <v>0</v>
      </c>
      <c r="S12" s="38">
        <f>ROUND('Форма по МДС 81-35.2004'!F168*'Базовые цены за единицу'!S12,2)</f>
        <v>0</v>
      </c>
      <c r="T12" s="38">
        <f>ROUND('Форма по МДС 81-35.2004'!F168*'Базовые цены за единицу'!T12,2)</f>
        <v>0</v>
      </c>
      <c r="U12" s="38">
        <f>ROUND('Форма по МДС 81-35.2004'!F168*'Базовые цены за единицу'!U12,2)</f>
        <v>0</v>
      </c>
      <c r="V12" s="38">
        <f>ROUND('Форма по МДС 81-35.2004'!F168*'Базовые цены за единицу'!V12,2)</f>
        <v>0</v>
      </c>
      <c r="X12" s="38">
        <f>ROUND('Форма по МДС 81-35.2004'!F168*'Базовые цены за единицу'!X12,2)</f>
        <v>0</v>
      </c>
      <c r="Y12" s="38">
        <f>IF(Определители!I12="9",ROUND((C12+E12)*(Начисления!M12/100)*('Форма по МДС 81-35.2004'!M205/100),2),0)</f>
        <v>0</v>
      </c>
      <c r="Z12" s="38">
        <f>IF(Определители!I12="9",ROUND((C12+E12)*(100-Начисления!M12/100)*('Форма по МДС 81-35.2004'!M205/100),2),0)</f>
        <v>0</v>
      </c>
      <c r="AA12" s="38">
        <f>IF(Определители!I12="9",ROUND((C12+E12)*(Начисления!M12/100)*('Форма по МДС 81-35.2004'!M208/100),2),0)</f>
        <v>0</v>
      </c>
      <c r="AB12" s="38">
        <f>IF(Определители!I12="9",ROUND((C12+E12)*(100-Начисления!M12/100)*('Форма по МДС 81-35.2004'!M208/100),2),0)</f>
        <v>0</v>
      </c>
      <c r="AC12" s="38">
        <f>IF(Определители!I12="9",ROUND(B12*Начисления!M12/100,2),0)</f>
        <v>0</v>
      </c>
      <c r="AD12" s="38">
        <f>IF(Определители!I12="9",ROUND(B12*(100-Начисления!M12)/100,2),0)</f>
        <v>0</v>
      </c>
      <c r="AE12" s="38">
        <f>ROUND('Форма по МДС 81-35.2004'!F168*'Базовые цены за единицу'!AE12,2)</f>
        <v>0</v>
      </c>
    </row>
    <row r="13" spans="1:31" ht="10.5">
      <c r="A13" s="38" t="str">
        <f>'Форма по МДС 81-35.2004'!A212</f>
        <v>8.</v>
      </c>
      <c r="B13" s="38">
        <f>'Форма по МДС 81-35.2004'!N212</f>
        <v>0</v>
      </c>
      <c r="C13" s="38">
        <f>ROUND(SUMIF('Форма по МДС 81-35.2004'!J212:J231,"Г",'Форма по МДС 81-35.2004'!N212:N231),2)</f>
        <v>0</v>
      </c>
      <c r="D13" s="38">
        <f>ROUND(SUMIF('Форма по МДС 81-35.2004'!J212:J231,"IsMash",'Форма по МДС 81-35.2004'!N212:N231),2)</f>
        <v>0</v>
      </c>
      <c r="E13" s="38">
        <f>'Форма по МДС 81-35.2004'!N213</f>
        <v>0</v>
      </c>
      <c r="F13" s="38">
        <f>ROUND(SUMIF('Форма по МДС 81-35.2004'!J212:J231,"IsMater",'Форма по МДС 81-35.2004'!N212:N231),2)</f>
        <v>0</v>
      </c>
      <c r="G13" s="38">
        <f>ROUND('Форма по МДС 81-35.2004'!F212*'Базовые цены за единицу'!G13,2)</f>
        <v>0</v>
      </c>
      <c r="H13" s="38">
        <f>ROUND('Форма по МДС 81-35.2004'!F212*'Базовые цены за единицу'!H13,2)</f>
        <v>0</v>
      </c>
      <c r="I13" s="33">
        <f>ОКРУГЛВСЕ(SUMIF('Форма по МДС 81-35.2004'!J212:J231,"Г",'Форма по МДС 81-35.2004'!F212:F231),8)</f>
        <v>0</v>
      </c>
      <c r="J13" s="33">
        <f>ОКРУГЛВСЕ('Форма по МДС 81-35.2004'!F212*'Базовые цены за единицу'!J13,8)</f>
        <v>0</v>
      </c>
      <c r="K13" s="33">
        <f>ОКРУГЛВСЕ(SUMIF('Форма по МДС 81-35.2004'!J212:J231,"Ж",'Форма по МДС 81-35.2004'!F212:F231),8)</f>
        <v>14.535713</v>
      </c>
      <c r="L13" s="38">
        <f>ROUND('Форма по МДС 81-35.2004'!F212*'Базовые цены за единицу'!L13,2)</f>
        <v>0</v>
      </c>
      <c r="M13" s="38">
        <f>ROUND('Форма по МДС 81-35.2004'!F212*'Базовые цены за единицу'!M13,2)</f>
        <v>0</v>
      </c>
      <c r="N13" s="38">
        <f>ROUND((C13+E13)*'Форма по МДС 81-35.2004'!M225/100,2)</f>
        <v>0</v>
      </c>
      <c r="O13" s="38">
        <f>ROUND((C13+E13)*'Форма по МДС 81-35.2004'!M228/100,2)</f>
        <v>0</v>
      </c>
      <c r="P13" s="38">
        <f>ROUND('Форма по МДС 81-35.2004'!F212*'Базовые цены за единицу'!P13,2)</f>
        <v>0</v>
      </c>
      <c r="Q13" s="38">
        <f>ROUND('Форма по МДС 81-35.2004'!F212*'Базовые цены за единицу'!Q13,2)</f>
        <v>0</v>
      </c>
      <c r="R13" s="38">
        <f>ROUND('Форма по МДС 81-35.2004'!F212*'Базовые цены за единицу'!R13,2)</f>
        <v>0</v>
      </c>
      <c r="S13" s="38">
        <f>ROUND('Форма по МДС 81-35.2004'!F212*'Базовые цены за единицу'!S13,2)</f>
        <v>0</v>
      </c>
      <c r="T13" s="38">
        <f>ROUND('Форма по МДС 81-35.2004'!F212*'Базовые цены за единицу'!T13,2)</f>
        <v>0</v>
      </c>
      <c r="U13" s="38">
        <f>ROUND('Форма по МДС 81-35.2004'!F212*'Базовые цены за единицу'!U13,2)</f>
        <v>0</v>
      </c>
      <c r="V13" s="38">
        <f>ROUND('Форма по МДС 81-35.2004'!F212*'Базовые цены за единицу'!V13,2)</f>
        <v>0</v>
      </c>
      <c r="X13" s="38">
        <f>ROUND('Форма по МДС 81-35.2004'!F212*'Базовые цены за единицу'!X13,2)</f>
        <v>0</v>
      </c>
      <c r="Y13" s="38">
        <f>IF(Определители!I13="9",ROUND((C13+E13)*(Начисления!M13/100)*('Форма по МДС 81-35.2004'!M225/100),2),0)</f>
        <v>0</v>
      </c>
      <c r="Z13" s="38">
        <f>IF(Определители!I13="9",ROUND((C13+E13)*(100-Начисления!M13/100)*('Форма по МДС 81-35.2004'!M225/100),2),0)</f>
        <v>0</v>
      </c>
      <c r="AA13" s="38">
        <f>IF(Определители!I13="9",ROUND((C13+E13)*(Начисления!M13/100)*('Форма по МДС 81-35.2004'!M228/100),2),0)</f>
        <v>0</v>
      </c>
      <c r="AB13" s="38">
        <f>IF(Определители!I13="9",ROUND((C13+E13)*(100-Начисления!M13/100)*('Форма по МДС 81-35.2004'!M228/100),2),0)</f>
        <v>0</v>
      </c>
      <c r="AC13" s="38">
        <f>IF(Определители!I13="9",ROUND(B13*Начисления!M13/100,2),0)</f>
        <v>0</v>
      </c>
      <c r="AD13" s="38">
        <f>IF(Определители!I13="9",ROUND(B13*(100-Начисления!M13)/100,2),0)</f>
        <v>0</v>
      </c>
      <c r="AE13" s="38">
        <f>ROUND('Форма по МДС 81-35.2004'!F212*'Базовые цены за единицу'!AE13,2)</f>
        <v>0</v>
      </c>
    </row>
    <row r="14" spans="1:31" ht="10.5">
      <c r="A14" s="38" t="str">
        <f>'Форма по МДС 81-35.2004'!A232</f>
        <v>9.</v>
      </c>
      <c r="B14" s="38">
        <f>'Форма по МДС 81-35.2004'!N232</f>
        <v>0</v>
      </c>
      <c r="C14" s="38">
        <f>ROUND(SUMIF('Форма по МДС 81-35.2004'!J232:J269,"Г",'Форма по МДС 81-35.2004'!N232:N269),2)</f>
        <v>0</v>
      </c>
      <c r="D14" s="38">
        <f>ROUND(SUMIF('Форма по МДС 81-35.2004'!J232:J269,"IsMash",'Форма по МДС 81-35.2004'!N232:N269),2)</f>
        <v>0</v>
      </c>
      <c r="E14" s="38">
        <f>'Форма по МДС 81-35.2004'!N234</f>
        <v>0</v>
      </c>
      <c r="F14" s="38">
        <f>ROUND(SUMIF('Форма по МДС 81-35.2004'!J232:J269,"IsMater",'Форма по МДС 81-35.2004'!N232:N269),2)</f>
        <v>0</v>
      </c>
      <c r="G14" s="38">
        <f>ROUND('Форма по МДС 81-35.2004'!F232*'Базовые цены за единицу'!G14,2)</f>
        <v>0</v>
      </c>
      <c r="H14" s="38">
        <f>ROUND('Форма по МДС 81-35.2004'!F232*'Базовые цены за единицу'!H14,2)</f>
        <v>0</v>
      </c>
      <c r="I14" s="33">
        <f>ОКРУГЛВСЕ(SUMIF('Форма по МДС 81-35.2004'!J232:J269,"Г",'Форма по МДС 81-35.2004'!F232:F269),8)</f>
        <v>21.18</v>
      </c>
      <c r="J14" s="33">
        <f>ОКРУГЛВСЕ('Форма по МДС 81-35.2004'!F232*'Базовые цены за единицу'!J14,8)</f>
        <v>0</v>
      </c>
      <c r="K14" s="33">
        <f>ОКРУГЛВСЕ(SUMIF('Форма по МДС 81-35.2004'!J232:J269,"Ж",'Форма по МДС 81-35.2004'!F232:F269),8)</f>
        <v>2.4882</v>
      </c>
      <c r="L14" s="38">
        <f>ROUND('Форма по МДС 81-35.2004'!F232*'Базовые цены за единицу'!L14,2)</f>
        <v>0</v>
      </c>
      <c r="M14" s="38">
        <f>ROUND('Форма по МДС 81-35.2004'!F232*'Базовые цены за единицу'!M14,2)</f>
        <v>0</v>
      </c>
      <c r="N14" s="38">
        <f>ROUND((C14+E14)*'Форма по МДС 81-35.2004'!M263/100,2)</f>
        <v>0</v>
      </c>
      <c r="O14" s="38">
        <f>ROUND((C14+E14)*'Форма по МДС 81-35.2004'!M266/100,2)</f>
        <v>0</v>
      </c>
      <c r="P14" s="38">
        <f>ROUND('Форма по МДС 81-35.2004'!F232*'Базовые цены за единицу'!P14,2)</f>
        <v>0</v>
      </c>
      <c r="Q14" s="38">
        <f>ROUND('Форма по МДС 81-35.2004'!F232*'Базовые цены за единицу'!Q14,2)</f>
        <v>0</v>
      </c>
      <c r="R14" s="38">
        <f>ROUND('Форма по МДС 81-35.2004'!F232*'Базовые цены за единицу'!R14,2)</f>
        <v>0</v>
      </c>
      <c r="S14" s="38">
        <f>ROUND('Форма по МДС 81-35.2004'!F232*'Базовые цены за единицу'!S14,2)</f>
        <v>0</v>
      </c>
      <c r="T14" s="38">
        <f>ROUND('Форма по МДС 81-35.2004'!F232*'Базовые цены за единицу'!T14,2)</f>
        <v>0</v>
      </c>
      <c r="U14" s="38">
        <f>ROUND('Форма по МДС 81-35.2004'!F232*'Базовые цены за единицу'!U14,2)</f>
        <v>0</v>
      </c>
      <c r="V14" s="38">
        <f>ROUND('Форма по МДС 81-35.2004'!F232*'Базовые цены за единицу'!V14,2)</f>
        <v>0</v>
      </c>
      <c r="X14" s="38">
        <f>ROUND('Форма по МДС 81-35.2004'!F232*'Базовые цены за единицу'!X14,2)</f>
        <v>0</v>
      </c>
      <c r="Y14" s="38">
        <f>IF(Определители!I14="9",ROUND((C14+E14)*(Начисления!M14/100)*('Форма по МДС 81-35.2004'!M263/100),2),0)</f>
        <v>0</v>
      </c>
      <c r="Z14" s="38">
        <f>IF(Определители!I14="9",ROUND((C14+E14)*(100-Начисления!M14/100)*('Форма по МДС 81-35.2004'!M263/100),2),0)</f>
        <v>0</v>
      </c>
      <c r="AA14" s="38">
        <f>IF(Определители!I14="9",ROUND((C14+E14)*(Начисления!M14/100)*('Форма по МДС 81-35.2004'!M266/100),2),0)</f>
        <v>0</v>
      </c>
      <c r="AB14" s="38">
        <f>IF(Определители!I14="9",ROUND((C14+E14)*(100-Начисления!M14/100)*('Форма по МДС 81-35.2004'!M266/100),2),0)</f>
        <v>0</v>
      </c>
      <c r="AC14" s="38">
        <f>IF(Определители!I14="9",ROUND(B14*Начисления!M14/100,2),0)</f>
        <v>0</v>
      </c>
      <c r="AD14" s="38">
        <f>IF(Определители!I14="9",ROUND(B14*(100-Начисления!M14)/100,2),0)</f>
        <v>0</v>
      </c>
      <c r="AE14" s="38">
        <f>ROUND('Форма по МДС 81-35.2004'!F232*'Базовые цены за единицу'!AE14,2)</f>
        <v>0</v>
      </c>
    </row>
    <row r="15" spans="1:31" ht="10.5">
      <c r="A15" s="38" t="str">
        <f>'Форма по МДС 81-35.2004'!A270</f>
        <v>10.</v>
      </c>
      <c r="B15" s="38">
        <f>'Форма по МДС 81-35.2004'!N270</f>
        <v>0</v>
      </c>
      <c r="C15" s="38">
        <f>ROUND(SUMIF('Форма по МДС 81-35.2004'!J270:J303,"Г",'Форма по МДС 81-35.2004'!N270:N303),2)</f>
        <v>0</v>
      </c>
      <c r="D15" s="38">
        <f>ROUND(SUMIF('Форма по МДС 81-35.2004'!J270:J303,"IsMash",'Форма по МДС 81-35.2004'!N270:N303),2)</f>
        <v>0</v>
      </c>
      <c r="E15" s="38">
        <f>'Форма по МДС 81-35.2004'!N271</f>
        <v>0</v>
      </c>
      <c r="F15" s="38">
        <f>ROUND(SUMIF('Форма по МДС 81-35.2004'!J270:J303,"IsMater",'Форма по МДС 81-35.2004'!N270:N303),2)</f>
        <v>0</v>
      </c>
      <c r="G15" s="38">
        <f>ROUND('Форма по МДС 81-35.2004'!F270*'Базовые цены за единицу'!G15,2)</f>
        <v>0</v>
      </c>
      <c r="H15" s="38">
        <f>ROUND('Форма по МДС 81-35.2004'!F270*'Базовые цены за единицу'!H15,2)</f>
        <v>0</v>
      </c>
      <c r="I15" s="33">
        <f>ОКРУГЛВСЕ(SUMIF('Форма по МДС 81-35.2004'!J270:J303,"Г",'Форма по МДС 81-35.2004'!F270:F303),8)</f>
        <v>43.52152</v>
      </c>
      <c r="J15" s="33">
        <f>ОКРУГЛВСЕ('Форма по МДС 81-35.2004'!F270*'Базовые цены за единицу'!J15,8)</f>
        <v>0</v>
      </c>
      <c r="K15" s="33">
        <f>ОКРУГЛВСЕ(SUMIF('Форма по МДС 81-35.2004'!J270:J303,"Ж",'Форма по МДС 81-35.2004'!F270:F303),8)</f>
        <v>43.43136</v>
      </c>
      <c r="L15" s="38">
        <f>ROUND('Форма по МДС 81-35.2004'!F270*'Базовые цены за единицу'!L15,2)</f>
        <v>0</v>
      </c>
      <c r="M15" s="38">
        <f>ROUND('Форма по МДС 81-35.2004'!F270*'Базовые цены за единицу'!M15,2)</f>
        <v>0</v>
      </c>
      <c r="N15" s="38">
        <f>ROUND((C15+E15)*'Форма по МДС 81-35.2004'!M297/100,2)</f>
        <v>0</v>
      </c>
      <c r="O15" s="38">
        <f>ROUND((C15+E15)*'Форма по МДС 81-35.2004'!M300/100,2)</f>
        <v>0</v>
      </c>
      <c r="P15" s="38">
        <f>ROUND('Форма по МДС 81-35.2004'!F270*'Базовые цены за единицу'!P15,2)</f>
        <v>0</v>
      </c>
      <c r="Q15" s="38">
        <f>ROUND('Форма по МДС 81-35.2004'!F270*'Базовые цены за единицу'!Q15,2)</f>
        <v>0</v>
      </c>
      <c r="R15" s="38">
        <f>ROUND('Форма по МДС 81-35.2004'!F270*'Базовые цены за единицу'!R15,2)</f>
        <v>0</v>
      </c>
      <c r="S15" s="38">
        <f>ROUND('Форма по МДС 81-35.2004'!F270*'Базовые цены за единицу'!S15,2)</f>
        <v>0</v>
      </c>
      <c r="T15" s="38">
        <f>ROUND('Форма по МДС 81-35.2004'!F270*'Базовые цены за единицу'!T15,2)</f>
        <v>0</v>
      </c>
      <c r="U15" s="38">
        <f>ROUND('Форма по МДС 81-35.2004'!F270*'Базовые цены за единицу'!U15,2)</f>
        <v>0</v>
      </c>
      <c r="V15" s="38">
        <f>ROUND('Форма по МДС 81-35.2004'!F270*'Базовые цены за единицу'!V15,2)</f>
        <v>0</v>
      </c>
      <c r="X15" s="38">
        <f>ROUND('Форма по МДС 81-35.2004'!F270*'Базовые цены за единицу'!X15,2)</f>
        <v>0</v>
      </c>
      <c r="Y15" s="38">
        <f>IF(Определители!I15="9",ROUND((C15+E15)*(Начисления!M15/100)*('Форма по МДС 81-35.2004'!M297/100),2),0)</f>
        <v>0</v>
      </c>
      <c r="Z15" s="38">
        <f>IF(Определители!I15="9",ROUND((C15+E15)*(100-Начисления!M15/100)*('Форма по МДС 81-35.2004'!M297/100),2),0)</f>
        <v>0</v>
      </c>
      <c r="AA15" s="38">
        <f>IF(Определители!I15="9",ROUND((C15+E15)*(Начисления!M15/100)*('Форма по МДС 81-35.2004'!M300/100),2),0)</f>
        <v>0</v>
      </c>
      <c r="AB15" s="38">
        <f>IF(Определители!I15="9",ROUND((C15+E15)*(100-Начисления!M15/100)*('Форма по МДС 81-35.2004'!M300/100),2),0)</f>
        <v>0</v>
      </c>
      <c r="AC15" s="38">
        <f>IF(Определители!I15="9",ROUND(B15*Начисления!M15/100,2),0)</f>
        <v>0</v>
      </c>
      <c r="AD15" s="38">
        <f>IF(Определители!I15="9",ROUND(B15*(100-Начисления!M15)/100,2),0)</f>
        <v>0</v>
      </c>
      <c r="AE15" s="38">
        <f>ROUND('Форма по МДС 81-35.2004'!F270*'Базовые цены за единицу'!AE15,2)</f>
        <v>0</v>
      </c>
    </row>
    <row r="16" spans="1:31" ht="10.5">
      <c r="A16" s="38" t="str">
        <f>'Форма по МДС 81-35.2004'!A304</f>
        <v>11.</v>
      </c>
      <c r="B16" s="38">
        <f>'Форма по МДС 81-35.2004'!N304</f>
        <v>0</v>
      </c>
      <c r="C16" s="38">
        <f>ROUND(SUMIF('Форма по МДС 81-35.2004'!J304:J321,"Г",'Форма по МДС 81-35.2004'!N304:N321),2)</f>
        <v>0</v>
      </c>
      <c r="D16" s="38">
        <f>ROUND(SUMIF('Форма по МДС 81-35.2004'!J304:J321,"IsMash",'Форма по МДС 81-35.2004'!N304:N321),2)</f>
        <v>0</v>
      </c>
      <c r="E16" s="38">
        <f>'Форма по МДС 81-35.2004'!N305</f>
        <v>0</v>
      </c>
      <c r="F16" s="38">
        <f>ROUND(SUMIF('Форма по МДС 81-35.2004'!J304:J321,"IsMater",'Форма по МДС 81-35.2004'!N304:N321),2)</f>
        <v>0</v>
      </c>
      <c r="G16" s="38">
        <f>ROUND('Форма по МДС 81-35.2004'!F304*'Базовые цены за единицу'!G16,2)</f>
        <v>0</v>
      </c>
      <c r="H16" s="38">
        <f>ROUND('Форма по МДС 81-35.2004'!F304*'Базовые цены за единицу'!H16,2)</f>
        <v>0</v>
      </c>
      <c r="I16" s="33">
        <f>ОКРУГЛВСЕ(SUMIF('Форма по МДС 81-35.2004'!J304:J321,"Г",'Форма по МДС 81-35.2004'!F304:F321),8)</f>
        <v>0</v>
      </c>
      <c r="J16" s="33">
        <f>ОКРУГЛВСЕ('Форма по МДС 81-35.2004'!F304*'Базовые цены за единицу'!J16,8)</f>
        <v>0</v>
      </c>
      <c r="K16" s="33">
        <f>ОКРУГЛВСЕ(SUMIF('Форма по МДС 81-35.2004'!J304:J321,"Ж",'Форма по МДС 81-35.2004'!F304:F321),8)</f>
        <v>0</v>
      </c>
      <c r="L16" s="38">
        <f>ROUND('Форма по МДС 81-35.2004'!F304*'Базовые цены за единицу'!L16,2)</f>
        <v>0</v>
      </c>
      <c r="M16" s="38">
        <f>ROUND('Форма по МДС 81-35.2004'!F304*'Базовые цены за единицу'!M16,2)</f>
        <v>0</v>
      </c>
      <c r="N16" s="38">
        <f>ROUND((C16+E16)*'Форма по МДС 81-35.2004'!M316/100,2)</f>
        <v>0</v>
      </c>
      <c r="O16" s="38">
        <f>ROUND((C16+E16)*'Форма по МДС 81-35.2004'!M319/100,2)</f>
        <v>0</v>
      </c>
      <c r="P16" s="38">
        <f>ROUND('Форма по МДС 81-35.2004'!F304*'Базовые цены за единицу'!P16,2)</f>
        <v>0</v>
      </c>
      <c r="Q16" s="38">
        <f>ROUND('Форма по МДС 81-35.2004'!F304*'Базовые цены за единицу'!Q16,2)</f>
        <v>0</v>
      </c>
      <c r="R16" s="38">
        <f>ROUND('Форма по МДС 81-35.2004'!F304*'Базовые цены за единицу'!R16,2)</f>
        <v>0</v>
      </c>
      <c r="S16" s="38">
        <f>ROUND('Форма по МДС 81-35.2004'!F304*'Базовые цены за единицу'!S16,2)</f>
        <v>0</v>
      </c>
      <c r="T16" s="38">
        <f>ROUND('Форма по МДС 81-35.2004'!F304*'Базовые цены за единицу'!T16,2)</f>
        <v>0</v>
      </c>
      <c r="U16" s="38">
        <f>ROUND('Форма по МДС 81-35.2004'!F304*'Базовые цены за единицу'!U16,2)</f>
        <v>0</v>
      </c>
      <c r="V16" s="38">
        <f>ROUND('Форма по МДС 81-35.2004'!F304*'Базовые цены за единицу'!V16,2)</f>
        <v>0</v>
      </c>
      <c r="X16" s="38">
        <f>ROUND('Форма по МДС 81-35.2004'!F304*'Базовые цены за единицу'!X16,2)</f>
        <v>0</v>
      </c>
      <c r="Y16" s="38">
        <f>IF(Определители!I16="9",ROUND((C16+E16)*(Начисления!M16/100)*('Форма по МДС 81-35.2004'!M316/100),2),0)</f>
        <v>0</v>
      </c>
      <c r="Z16" s="38">
        <f>IF(Определители!I16="9",ROUND((C16+E16)*(100-Начисления!M16/100)*('Форма по МДС 81-35.2004'!M316/100),2),0)</f>
        <v>0</v>
      </c>
      <c r="AA16" s="38">
        <f>IF(Определители!I16="9",ROUND((C16+E16)*(Начисления!M16/100)*('Форма по МДС 81-35.2004'!M319/100),2),0)</f>
        <v>0</v>
      </c>
      <c r="AB16" s="38">
        <f>IF(Определители!I16="9",ROUND((C16+E16)*(100-Начисления!M16/100)*('Форма по МДС 81-35.2004'!M319/100),2),0)</f>
        <v>0</v>
      </c>
      <c r="AC16" s="38">
        <f>IF(Определители!I16="9",ROUND(B16*Начисления!M16/100,2),0)</f>
        <v>0</v>
      </c>
      <c r="AD16" s="38">
        <f>IF(Определители!I16="9",ROUND(B16*(100-Начисления!M16)/100,2),0)</f>
        <v>0</v>
      </c>
      <c r="AE16" s="38">
        <f>ROUND('Форма по МДС 81-35.2004'!F304*'Базовые цены за единицу'!AE16,2)</f>
        <v>0</v>
      </c>
    </row>
    <row r="17" spans="1:31" ht="10.5">
      <c r="A17" s="38" t="str">
        <f>'Форма по МДС 81-35.2004'!A322</f>
        <v>12.</v>
      </c>
      <c r="B17" s="38">
        <f>'Форма по МДС 81-35.2004'!N322</f>
        <v>0</v>
      </c>
      <c r="C17" s="38">
        <f>ROUND(SUMIF('Форма по МДС 81-35.2004'!J322:J339,"Г",'Форма по МДС 81-35.2004'!N322:N339),2)</f>
        <v>0</v>
      </c>
      <c r="D17" s="38">
        <f>ROUND(SUMIF('Форма по МДС 81-35.2004'!J322:J339,"IsMash",'Форма по МДС 81-35.2004'!N322:N339),2)</f>
        <v>0</v>
      </c>
      <c r="E17" s="38">
        <f>'Форма по МДС 81-35.2004'!N323</f>
        <v>0</v>
      </c>
      <c r="F17" s="38">
        <f>ROUND(SUMIF('Форма по МДС 81-35.2004'!J322:J339,"IsMater",'Форма по МДС 81-35.2004'!N322:N339),2)</f>
        <v>0</v>
      </c>
      <c r="G17" s="38">
        <f>ROUND('Форма по МДС 81-35.2004'!F322*'Базовые цены за единицу'!G17,2)</f>
        <v>0</v>
      </c>
      <c r="H17" s="38">
        <f>ROUND('Форма по МДС 81-35.2004'!F322*'Базовые цены за единицу'!H17,2)</f>
        <v>0</v>
      </c>
      <c r="I17" s="33">
        <f>ОКРУГЛВСЕ(SUMIF('Форма по МДС 81-35.2004'!J322:J339,"Г",'Форма по МДС 81-35.2004'!F322:F339),8)</f>
        <v>0</v>
      </c>
      <c r="J17" s="33">
        <f>ОКРУГЛВСЕ('Форма по МДС 81-35.2004'!F322*'Базовые цены за единицу'!J17,8)</f>
        <v>0</v>
      </c>
      <c r="K17" s="33">
        <f>ОКРУГЛВСЕ(SUMIF('Форма по МДС 81-35.2004'!J322:J339,"Ж",'Форма по МДС 81-35.2004'!F322:F339),8)</f>
        <v>0</v>
      </c>
      <c r="L17" s="38">
        <f>ROUND('Форма по МДС 81-35.2004'!F322*'Базовые цены за единицу'!L17,2)</f>
        <v>0</v>
      </c>
      <c r="M17" s="38">
        <f>ROUND('Форма по МДС 81-35.2004'!F322*'Базовые цены за единицу'!M17,2)</f>
        <v>0</v>
      </c>
      <c r="N17" s="38">
        <f>ROUND((C17+E17)*'Форма по МДС 81-35.2004'!M334/100,2)</f>
        <v>0</v>
      </c>
      <c r="O17" s="38">
        <f>ROUND((C17+E17)*'Форма по МДС 81-35.2004'!M337/100,2)</f>
        <v>0</v>
      </c>
      <c r="P17" s="38">
        <f>ROUND('Форма по МДС 81-35.2004'!F322*'Базовые цены за единицу'!P17,2)</f>
        <v>0</v>
      </c>
      <c r="Q17" s="38">
        <f>ROUND('Форма по МДС 81-35.2004'!F322*'Базовые цены за единицу'!Q17,2)</f>
        <v>0</v>
      </c>
      <c r="R17" s="38">
        <f>ROUND('Форма по МДС 81-35.2004'!F322*'Базовые цены за единицу'!R17,2)</f>
        <v>0</v>
      </c>
      <c r="S17" s="38">
        <f>ROUND('Форма по МДС 81-35.2004'!F322*'Базовые цены за единицу'!S17,2)</f>
        <v>0</v>
      </c>
      <c r="T17" s="38">
        <f>ROUND('Форма по МДС 81-35.2004'!F322*'Базовые цены за единицу'!T17,2)</f>
        <v>0</v>
      </c>
      <c r="U17" s="38">
        <f>ROUND('Форма по МДС 81-35.2004'!F322*'Базовые цены за единицу'!U17,2)</f>
        <v>0</v>
      </c>
      <c r="V17" s="38">
        <f>ROUND('Форма по МДС 81-35.2004'!F322*'Базовые цены за единицу'!V17,2)</f>
        <v>0</v>
      </c>
      <c r="X17" s="38">
        <f>ROUND('Форма по МДС 81-35.2004'!F322*'Базовые цены за единицу'!X17,2)</f>
        <v>0</v>
      </c>
      <c r="Y17" s="38">
        <f>IF(Определители!I17="9",ROUND((C17+E17)*(Начисления!M17/100)*('Форма по МДС 81-35.2004'!M334/100),2),0)</f>
        <v>0</v>
      </c>
      <c r="Z17" s="38">
        <f>IF(Определители!I17="9",ROUND((C17+E17)*(100-Начисления!M17/100)*('Форма по МДС 81-35.2004'!M334/100),2),0)</f>
        <v>0</v>
      </c>
      <c r="AA17" s="38">
        <f>IF(Определители!I17="9",ROUND((C17+E17)*(Начисления!M17/100)*('Форма по МДС 81-35.2004'!M337/100),2),0)</f>
        <v>0</v>
      </c>
      <c r="AB17" s="38">
        <f>IF(Определители!I17="9",ROUND((C17+E17)*(100-Начисления!M17/100)*('Форма по МДС 81-35.2004'!M337/100),2),0)</f>
        <v>0</v>
      </c>
      <c r="AC17" s="38">
        <f>IF(Определители!I17="9",ROUND(B17*Начисления!M17/100,2),0)</f>
        <v>0</v>
      </c>
      <c r="AD17" s="38">
        <f>IF(Определители!I17="9",ROUND(B17*(100-Начисления!M17)/100,2),0)</f>
        <v>0</v>
      </c>
      <c r="AE17" s="38">
        <f>ROUND('Форма по МДС 81-35.2004'!F322*'Базовые цены за единицу'!AE17,2)</f>
        <v>0</v>
      </c>
    </row>
    <row r="18" spans="1:31" ht="10.5">
      <c r="A18" s="38" t="str">
        <f>'Форма по МДС 81-35.2004'!A340</f>
        <v>13.</v>
      </c>
      <c r="B18" s="38">
        <f>'Форма по МДС 81-35.2004'!N340</f>
        <v>0</v>
      </c>
      <c r="C18" s="38">
        <f>ROUND(SUMIF('Форма по МДС 81-35.2004'!J340:J357,"Г",'Форма по МДС 81-35.2004'!N340:N357),2)</f>
        <v>0</v>
      </c>
      <c r="D18" s="38">
        <f>ROUND(SUMIF('Форма по МДС 81-35.2004'!J340:J357,"IsMash",'Форма по МДС 81-35.2004'!N340:N357),2)</f>
        <v>0</v>
      </c>
      <c r="E18" s="38">
        <f>'Форма по МДС 81-35.2004'!N341</f>
        <v>0</v>
      </c>
      <c r="F18" s="38">
        <f>ROUND(SUMIF('Форма по МДС 81-35.2004'!J340:J357,"IsMater",'Форма по МДС 81-35.2004'!N340:N357),2)</f>
        <v>0</v>
      </c>
      <c r="G18" s="38">
        <f>ROUND('Форма по МДС 81-35.2004'!F340*'Базовые цены за единицу'!G18,2)</f>
        <v>0</v>
      </c>
      <c r="H18" s="38">
        <f>ROUND('Форма по МДС 81-35.2004'!F340*'Базовые цены за единицу'!H18,2)</f>
        <v>0</v>
      </c>
      <c r="I18" s="33">
        <f>ОКРУГЛВСЕ(SUMIF('Форма по МДС 81-35.2004'!J340:J357,"Г",'Форма по МДС 81-35.2004'!F340:F357),8)</f>
        <v>0</v>
      </c>
      <c r="J18" s="33">
        <f>ОКРУГЛВСЕ('Форма по МДС 81-35.2004'!F340*'Базовые цены за единицу'!J18,8)</f>
        <v>0</v>
      </c>
      <c r="K18" s="33">
        <f>ОКРУГЛВСЕ(SUMIF('Форма по МДС 81-35.2004'!J340:J357,"Ж",'Форма по МДС 81-35.2004'!F340:F357),8)</f>
        <v>0</v>
      </c>
      <c r="L18" s="38">
        <f>ROUND('Форма по МДС 81-35.2004'!F340*'Базовые цены за единицу'!L18,2)</f>
        <v>0</v>
      </c>
      <c r="M18" s="38">
        <f>ROUND('Форма по МДС 81-35.2004'!F340*'Базовые цены за единицу'!M18,2)</f>
        <v>0</v>
      </c>
      <c r="N18" s="38">
        <f>ROUND((C18+E18)*'Форма по МДС 81-35.2004'!M352/100,2)</f>
        <v>0</v>
      </c>
      <c r="O18" s="38">
        <f>ROUND((C18+E18)*'Форма по МДС 81-35.2004'!M355/100,2)</f>
        <v>0</v>
      </c>
      <c r="P18" s="38">
        <f>ROUND('Форма по МДС 81-35.2004'!F340*'Базовые цены за единицу'!P18,2)</f>
        <v>0</v>
      </c>
      <c r="Q18" s="38">
        <f>ROUND('Форма по МДС 81-35.2004'!F340*'Базовые цены за единицу'!Q18,2)</f>
        <v>0</v>
      </c>
      <c r="R18" s="38">
        <f>ROUND('Форма по МДС 81-35.2004'!F340*'Базовые цены за единицу'!R18,2)</f>
        <v>0</v>
      </c>
      <c r="S18" s="38">
        <f>ROUND('Форма по МДС 81-35.2004'!F340*'Базовые цены за единицу'!S18,2)</f>
        <v>0</v>
      </c>
      <c r="T18" s="38">
        <f>ROUND('Форма по МДС 81-35.2004'!F340*'Базовые цены за единицу'!T18,2)</f>
        <v>0</v>
      </c>
      <c r="U18" s="38">
        <f>ROUND('Форма по МДС 81-35.2004'!F340*'Базовые цены за единицу'!U18,2)</f>
        <v>0</v>
      </c>
      <c r="V18" s="38">
        <f>ROUND('Форма по МДС 81-35.2004'!F340*'Базовые цены за единицу'!V18,2)</f>
        <v>0</v>
      </c>
      <c r="X18" s="38">
        <f>ROUND('Форма по МДС 81-35.2004'!F340*'Базовые цены за единицу'!X18,2)</f>
        <v>0</v>
      </c>
      <c r="Y18" s="38">
        <f>IF(Определители!I18="9",ROUND((C18+E18)*(Начисления!M18/100)*('Форма по МДС 81-35.2004'!M352/100),2),0)</f>
        <v>0</v>
      </c>
      <c r="Z18" s="38">
        <f>IF(Определители!I18="9",ROUND((C18+E18)*(100-Начисления!M18/100)*('Форма по МДС 81-35.2004'!M352/100),2),0)</f>
        <v>0</v>
      </c>
      <c r="AA18" s="38">
        <f>IF(Определители!I18="9",ROUND((C18+E18)*(Начисления!M18/100)*('Форма по МДС 81-35.2004'!M355/100),2),0)</f>
        <v>0</v>
      </c>
      <c r="AB18" s="38">
        <f>IF(Определители!I18="9",ROUND((C18+E18)*(100-Начисления!M18/100)*('Форма по МДС 81-35.2004'!M355/100),2),0)</f>
        <v>0</v>
      </c>
      <c r="AC18" s="38">
        <f>IF(Определители!I18="9",ROUND(B18*Начисления!M18/100,2),0)</f>
        <v>0</v>
      </c>
      <c r="AD18" s="38">
        <f>IF(Определители!I18="9",ROUND(B18*(100-Начисления!M18)/100,2),0)</f>
        <v>0</v>
      </c>
      <c r="AE18" s="38">
        <f>ROUND('Форма по МДС 81-35.2004'!F340*'Базовые цены за единицу'!AE18,2)</f>
        <v>0</v>
      </c>
    </row>
    <row r="19" spans="1:31" ht="10.5">
      <c r="A19" s="38" t="str">
        <f>'Форма по МДС 81-35.2004'!A358</f>
        <v>14.</v>
      </c>
      <c r="B19" s="38">
        <f>'Форма по МДС 81-35.2004'!N358</f>
        <v>0</v>
      </c>
      <c r="C19" s="38">
        <f>ROUND(SUMIF('Форма по МДС 81-35.2004'!J358:J375,"Г",'Форма по МДС 81-35.2004'!N358:N375),2)</f>
        <v>0</v>
      </c>
      <c r="D19" s="38">
        <f>ROUND(SUMIF('Форма по МДС 81-35.2004'!J358:J375,"IsMash",'Форма по МДС 81-35.2004'!N358:N375),2)</f>
        <v>0</v>
      </c>
      <c r="E19" s="38">
        <f>'Форма по МДС 81-35.2004'!N359</f>
        <v>0</v>
      </c>
      <c r="F19" s="38">
        <f>ROUND(SUMIF('Форма по МДС 81-35.2004'!J358:J375,"IsMater",'Форма по МДС 81-35.2004'!N358:N375),2)</f>
        <v>0</v>
      </c>
      <c r="G19" s="38">
        <f>ROUND('Форма по МДС 81-35.2004'!F358*'Базовые цены за единицу'!G19,2)</f>
        <v>0</v>
      </c>
      <c r="H19" s="38">
        <f>ROUND('Форма по МДС 81-35.2004'!F358*'Базовые цены за единицу'!H19,2)</f>
        <v>0</v>
      </c>
      <c r="I19" s="33">
        <f>ОКРУГЛВСЕ(SUMIF('Форма по МДС 81-35.2004'!J358:J375,"Г",'Форма по МДС 81-35.2004'!F358:F375),8)</f>
        <v>0</v>
      </c>
      <c r="J19" s="33">
        <f>ОКРУГЛВСЕ('Форма по МДС 81-35.2004'!F358*'Базовые цены за единицу'!J19,8)</f>
        <v>0</v>
      </c>
      <c r="K19" s="33">
        <f>ОКРУГЛВСЕ(SUMIF('Форма по МДС 81-35.2004'!J358:J375,"Ж",'Форма по МДС 81-35.2004'!F358:F375),8)</f>
        <v>0</v>
      </c>
      <c r="L19" s="38">
        <f>ROUND('Форма по МДС 81-35.2004'!F358*'Базовые цены за единицу'!L19,2)</f>
        <v>0</v>
      </c>
      <c r="M19" s="38">
        <f>ROUND('Форма по МДС 81-35.2004'!F358*'Базовые цены за единицу'!M19,2)</f>
        <v>0</v>
      </c>
      <c r="N19" s="38">
        <f>ROUND((C19+E19)*'Форма по МДС 81-35.2004'!M370/100,2)</f>
        <v>0</v>
      </c>
      <c r="O19" s="38">
        <f>ROUND((C19+E19)*'Форма по МДС 81-35.2004'!M373/100,2)</f>
        <v>0</v>
      </c>
      <c r="P19" s="38">
        <f>ROUND('Форма по МДС 81-35.2004'!F358*'Базовые цены за единицу'!P19,2)</f>
        <v>0</v>
      </c>
      <c r="Q19" s="38">
        <f>ROUND('Форма по МДС 81-35.2004'!F358*'Базовые цены за единицу'!Q19,2)</f>
        <v>0</v>
      </c>
      <c r="R19" s="38">
        <f>ROUND('Форма по МДС 81-35.2004'!F358*'Базовые цены за единицу'!R19,2)</f>
        <v>0</v>
      </c>
      <c r="S19" s="38">
        <f>ROUND('Форма по МДС 81-35.2004'!F358*'Базовые цены за единицу'!S19,2)</f>
        <v>0</v>
      </c>
      <c r="T19" s="38">
        <f>ROUND('Форма по МДС 81-35.2004'!F358*'Базовые цены за единицу'!T19,2)</f>
        <v>0</v>
      </c>
      <c r="U19" s="38">
        <f>ROUND('Форма по МДС 81-35.2004'!F358*'Базовые цены за единицу'!U19,2)</f>
        <v>0</v>
      </c>
      <c r="V19" s="38">
        <f>ROUND('Форма по МДС 81-35.2004'!F358*'Базовые цены за единицу'!V19,2)</f>
        <v>0</v>
      </c>
      <c r="X19" s="38">
        <f>ROUND('Форма по МДС 81-35.2004'!F358*'Базовые цены за единицу'!X19,2)</f>
        <v>0</v>
      </c>
      <c r="Y19" s="38">
        <f>IF(Определители!I19="9",ROUND((C19+E19)*(Начисления!M19/100)*('Форма по МДС 81-35.2004'!M370/100),2),0)</f>
        <v>0</v>
      </c>
      <c r="Z19" s="38">
        <f>IF(Определители!I19="9",ROUND((C19+E19)*(100-Начисления!M19/100)*('Форма по МДС 81-35.2004'!M370/100),2),0)</f>
        <v>0</v>
      </c>
      <c r="AA19" s="38">
        <f>IF(Определители!I19="9",ROUND((C19+E19)*(Начисления!M19/100)*('Форма по МДС 81-35.2004'!M373/100),2),0)</f>
        <v>0</v>
      </c>
      <c r="AB19" s="38">
        <f>IF(Определители!I19="9",ROUND((C19+E19)*(100-Начисления!M19/100)*('Форма по МДС 81-35.2004'!M373/100),2),0)</f>
        <v>0</v>
      </c>
      <c r="AC19" s="38">
        <f>IF(Определители!I19="9",ROUND(B19*Начисления!M19/100,2),0)</f>
        <v>0</v>
      </c>
      <c r="AD19" s="38">
        <f>IF(Определители!I19="9",ROUND(B19*(100-Начисления!M19)/100,2),0)</f>
        <v>0</v>
      </c>
      <c r="AE19" s="38">
        <f>ROUND('Форма по МДС 81-35.2004'!F358*'Базовые цены за единицу'!AE19,2)</f>
        <v>0</v>
      </c>
    </row>
    <row r="20" spans="1:31" ht="10.5">
      <c r="A20" s="38" t="str">
        <f>'Форма по МДС 81-35.2004'!A376</f>
        <v>15.</v>
      </c>
      <c r="B20" s="38">
        <f>'Форма по МДС 81-35.2004'!N376</f>
        <v>0</v>
      </c>
      <c r="C20" s="38">
        <f>ROUND(SUMIF('Форма по МДС 81-35.2004'!J376:J393,"Г",'Форма по МДС 81-35.2004'!N376:N393),2)</f>
        <v>0</v>
      </c>
      <c r="D20" s="38">
        <f>ROUND(SUMIF('Форма по МДС 81-35.2004'!J376:J393,"IsMash",'Форма по МДС 81-35.2004'!N376:N393),2)</f>
        <v>0</v>
      </c>
      <c r="E20" s="38">
        <f>'Форма по МДС 81-35.2004'!N377</f>
        <v>0</v>
      </c>
      <c r="F20" s="38">
        <f>ROUND(SUMIF('Форма по МДС 81-35.2004'!J376:J393,"IsMater",'Форма по МДС 81-35.2004'!N376:N393),2)</f>
        <v>0</v>
      </c>
      <c r="G20" s="38">
        <f>ROUND('Форма по МДС 81-35.2004'!F376*'Базовые цены за единицу'!G20,2)</f>
        <v>0</v>
      </c>
      <c r="H20" s="38">
        <f>ROUND('Форма по МДС 81-35.2004'!F376*'Базовые цены за единицу'!H20,2)</f>
        <v>0</v>
      </c>
      <c r="I20" s="33">
        <f>ОКРУГЛВСЕ(SUMIF('Форма по МДС 81-35.2004'!J376:J393,"Г",'Форма по МДС 81-35.2004'!F376:F393),8)</f>
        <v>0</v>
      </c>
      <c r="J20" s="33">
        <f>ОКРУГЛВСЕ('Форма по МДС 81-35.2004'!F376*'Базовые цены за единицу'!J20,8)</f>
        <v>0</v>
      </c>
      <c r="K20" s="33">
        <f>ОКРУГЛВСЕ(SUMIF('Форма по МДС 81-35.2004'!J376:J393,"Ж",'Форма по МДС 81-35.2004'!F376:F393),8)</f>
        <v>0</v>
      </c>
      <c r="L20" s="38">
        <f>ROUND('Форма по МДС 81-35.2004'!F376*'Базовые цены за единицу'!L20,2)</f>
        <v>0</v>
      </c>
      <c r="M20" s="38">
        <f>ROUND('Форма по МДС 81-35.2004'!F376*'Базовые цены за единицу'!M20,2)</f>
        <v>0</v>
      </c>
      <c r="N20" s="38">
        <f>ROUND((C20+E20)*'Форма по МДС 81-35.2004'!M388/100,2)</f>
        <v>0</v>
      </c>
      <c r="O20" s="38">
        <f>ROUND((C20+E20)*'Форма по МДС 81-35.2004'!M391/100,2)</f>
        <v>0</v>
      </c>
      <c r="P20" s="38">
        <f>ROUND('Форма по МДС 81-35.2004'!F376*'Базовые цены за единицу'!P20,2)</f>
        <v>0</v>
      </c>
      <c r="Q20" s="38">
        <f>ROUND('Форма по МДС 81-35.2004'!F376*'Базовые цены за единицу'!Q20,2)</f>
        <v>0</v>
      </c>
      <c r="R20" s="38">
        <f>ROUND('Форма по МДС 81-35.2004'!F376*'Базовые цены за единицу'!R20,2)</f>
        <v>0</v>
      </c>
      <c r="S20" s="38">
        <f>ROUND('Форма по МДС 81-35.2004'!F376*'Базовые цены за единицу'!S20,2)</f>
        <v>0</v>
      </c>
      <c r="T20" s="38">
        <f>ROUND('Форма по МДС 81-35.2004'!F376*'Базовые цены за единицу'!T20,2)</f>
        <v>0</v>
      </c>
      <c r="U20" s="38">
        <f>ROUND('Форма по МДС 81-35.2004'!F376*'Базовые цены за единицу'!U20,2)</f>
        <v>0</v>
      </c>
      <c r="V20" s="38">
        <f>ROUND('Форма по МДС 81-35.2004'!F376*'Базовые цены за единицу'!V20,2)</f>
        <v>0</v>
      </c>
      <c r="X20" s="38">
        <f>ROUND('Форма по МДС 81-35.2004'!F376*'Базовые цены за единицу'!X20,2)</f>
        <v>0</v>
      </c>
      <c r="Y20" s="38">
        <f>IF(Определители!I20="9",ROUND((C20+E20)*(Начисления!M20/100)*('Форма по МДС 81-35.2004'!M388/100),2),0)</f>
        <v>0</v>
      </c>
      <c r="Z20" s="38">
        <f>IF(Определители!I20="9",ROUND((C20+E20)*(100-Начисления!M20/100)*('Форма по МДС 81-35.2004'!M388/100),2),0)</f>
        <v>0</v>
      </c>
      <c r="AA20" s="38">
        <f>IF(Определители!I20="9",ROUND((C20+E20)*(Начисления!M20/100)*('Форма по МДС 81-35.2004'!M391/100),2),0)</f>
        <v>0</v>
      </c>
      <c r="AB20" s="38">
        <f>IF(Определители!I20="9",ROUND((C20+E20)*(100-Начисления!M20/100)*('Форма по МДС 81-35.2004'!M391/100),2),0)</f>
        <v>0</v>
      </c>
      <c r="AC20" s="38">
        <f>IF(Определители!I20="9",ROUND(B20*Начисления!M20/100,2),0)</f>
        <v>0</v>
      </c>
      <c r="AD20" s="38">
        <f>IF(Определители!I20="9",ROUND(B20*(100-Начисления!M20)/100,2),0)</f>
        <v>0</v>
      </c>
      <c r="AE20" s="38">
        <f>ROUND('Форма по МДС 81-35.2004'!F376*'Базовые цены за единицу'!AE20,2)</f>
        <v>0</v>
      </c>
    </row>
    <row r="21" spans="1:31" ht="10.5">
      <c r="A21" s="38" t="str">
        <f>'Форма по МДС 81-35.2004'!A394</f>
        <v>16.</v>
      </c>
      <c r="B21" s="38">
        <f>'Форма по МДС 81-35.2004'!N394</f>
        <v>0</v>
      </c>
      <c r="C21" s="38">
        <f>ROUND(SUMIF('Форма по МДС 81-35.2004'!J394:J411,"Г",'Форма по МДС 81-35.2004'!N394:N411),2)</f>
        <v>0</v>
      </c>
      <c r="D21" s="38">
        <f>ROUND(SUMIF('Форма по МДС 81-35.2004'!J394:J411,"IsMash",'Форма по МДС 81-35.2004'!N394:N411),2)</f>
        <v>0</v>
      </c>
      <c r="E21" s="38">
        <f>'Форма по МДС 81-35.2004'!N395</f>
        <v>0</v>
      </c>
      <c r="F21" s="38">
        <f>ROUND(SUMIF('Форма по МДС 81-35.2004'!J394:J411,"IsMater",'Форма по МДС 81-35.2004'!N394:N411),2)</f>
        <v>0</v>
      </c>
      <c r="G21" s="38">
        <f>ROUND('Форма по МДС 81-35.2004'!F394*'Базовые цены за единицу'!G21,2)</f>
        <v>0</v>
      </c>
      <c r="H21" s="38">
        <f>ROUND('Форма по МДС 81-35.2004'!F394*'Базовые цены за единицу'!H21,2)</f>
        <v>0</v>
      </c>
      <c r="I21" s="33">
        <f>ОКРУГЛВСЕ(SUMIF('Форма по МДС 81-35.2004'!J394:J411,"Г",'Форма по МДС 81-35.2004'!F394:F411),8)</f>
        <v>0</v>
      </c>
      <c r="J21" s="33">
        <f>ОКРУГЛВСЕ('Форма по МДС 81-35.2004'!F394*'Базовые цены за единицу'!J21,8)</f>
        <v>0</v>
      </c>
      <c r="K21" s="33">
        <f>ОКРУГЛВСЕ(SUMIF('Форма по МДС 81-35.2004'!J394:J411,"Ж",'Форма по МДС 81-35.2004'!F394:F411),8)</f>
        <v>0</v>
      </c>
      <c r="L21" s="38">
        <f>ROUND('Форма по МДС 81-35.2004'!F394*'Базовые цены за единицу'!L21,2)</f>
        <v>0</v>
      </c>
      <c r="M21" s="38">
        <f>ROUND('Форма по МДС 81-35.2004'!F394*'Базовые цены за единицу'!M21,2)</f>
        <v>0</v>
      </c>
      <c r="N21" s="38">
        <f>ROUND((C21+E21)*'Форма по МДС 81-35.2004'!M406/100,2)</f>
        <v>0</v>
      </c>
      <c r="O21" s="38">
        <f>ROUND((C21+E21)*'Форма по МДС 81-35.2004'!M409/100,2)</f>
        <v>0</v>
      </c>
      <c r="P21" s="38">
        <f>ROUND('Форма по МДС 81-35.2004'!F394*'Базовые цены за единицу'!P21,2)</f>
        <v>0</v>
      </c>
      <c r="Q21" s="38">
        <f>ROUND('Форма по МДС 81-35.2004'!F394*'Базовые цены за единицу'!Q21,2)</f>
        <v>0</v>
      </c>
      <c r="R21" s="38">
        <f>ROUND('Форма по МДС 81-35.2004'!F394*'Базовые цены за единицу'!R21,2)</f>
        <v>0</v>
      </c>
      <c r="S21" s="38">
        <f>ROUND('Форма по МДС 81-35.2004'!F394*'Базовые цены за единицу'!S21,2)</f>
        <v>0</v>
      </c>
      <c r="T21" s="38">
        <f>ROUND('Форма по МДС 81-35.2004'!F394*'Базовые цены за единицу'!T21,2)</f>
        <v>0</v>
      </c>
      <c r="U21" s="38">
        <f>ROUND('Форма по МДС 81-35.2004'!F394*'Базовые цены за единицу'!U21,2)</f>
        <v>0</v>
      </c>
      <c r="V21" s="38">
        <f>ROUND('Форма по МДС 81-35.2004'!F394*'Базовые цены за единицу'!V21,2)</f>
        <v>0</v>
      </c>
      <c r="X21" s="38">
        <f>ROUND('Форма по МДС 81-35.2004'!F394*'Базовые цены за единицу'!X21,2)</f>
        <v>0</v>
      </c>
      <c r="Y21" s="38">
        <f>IF(Определители!I21="9",ROUND((C21+E21)*(Начисления!M21/100)*('Форма по МДС 81-35.2004'!M406/100),2),0)</f>
        <v>0</v>
      </c>
      <c r="Z21" s="38">
        <f>IF(Определители!I21="9",ROUND((C21+E21)*(100-Начисления!M21/100)*('Форма по МДС 81-35.2004'!M406/100),2),0)</f>
        <v>0</v>
      </c>
      <c r="AA21" s="38">
        <f>IF(Определители!I21="9",ROUND((C21+E21)*(Начисления!M21/100)*('Форма по МДС 81-35.2004'!M409/100),2),0)</f>
        <v>0</v>
      </c>
      <c r="AB21" s="38">
        <f>IF(Определители!I21="9",ROUND((C21+E21)*(100-Начисления!M21/100)*('Форма по МДС 81-35.2004'!M409/100),2),0)</f>
        <v>0</v>
      </c>
      <c r="AC21" s="38">
        <f>IF(Определители!I21="9",ROUND(B21*Начисления!M21/100,2),0)</f>
        <v>0</v>
      </c>
      <c r="AD21" s="38">
        <f>IF(Определители!I21="9",ROUND(B21*(100-Начисления!M21)/100,2),0)</f>
        <v>0</v>
      </c>
      <c r="AE21" s="38">
        <f>ROUND('Форма по МДС 81-35.2004'!F394*'Базовые цены за единицу'!AE21,2)</f>
        <v>0</v>
      </c>
    </row>
    <row r="22" spans="1:31" ht="10.5">
      <c r="A22" s="38" t="str">
        <f>'Форма по МДС 81-35.2004'!A412</f>
        <v>17.</v>
      </c>
      <c r="B22" s="38">
        <f>'Форма по МДС 81-35.2004'!N412</f>
        <v>0</v>
      </c>
      <c r="C22" s="38">
        <f>ROUND(SUMIF('Форма по МДС 81-35.2004'!J412:J429,"Г",'Форма по МДС 81-35.2004'!N412:N429),2)</f>
        <v>0</v>
      </c>
      <c r="D22" s="38">
        <f>ROUND(SUMIF('Форма по МДС 81-35.2004'!J412:J429,"IsMash",'Форма по МДС 81-35.2004'!N412:N429),2)</f>
        <v>0</v>
      </c>
      <c r="E22" s="38">
        <f>'Форма по МДС 81-35.2004'!N413</f>
        <v>0</v>
      </c>
      <c r="F22" s="38">
        <f>ROUND(SUMIF('Форма по МДС 81-35.2004'!J412:J429,"IsMater",'Форма по МДС 81-35.2004'!N412:N429),2)</f>
        <v>0</v>
      </c>
      <c r="G22" s="38">
        <f>ROUND('Форма по МДС 81-35.2004'!F412*'Базовые цены за единицу'!G22,2)</f>
        <v>0</v>
      </c>
      <c r="H22" s="38">
        <f>ROUND('Форма по МДС 81-35.2004'!F412*'Базовые цены за единицу'!H22,2)</f>
        <v>0</v>
      </c>
      <c r="I22" s="33">
        <f>ОКРУГЛВСЕ(SUMIF('Форма по МДС 81-35.2004'!J412:J429,"Г",'Форма по МДС 81-35.2004'!F412:F429),8)</f>
        <v>0</v>
      </c>
      <c r="J22" s="33">
        <f>ОКРУГЛВСЕ('Форма по МДС 81-35.2004'!F412*'Базовые цены за единицу'!J22,8)</f>
        <v>0</v>
      </c>
      <c r="K22" s="33">
        <f>ОКРУГЛВСЕ(SUMIF('Форма по МДС 81-35.2004'!J412:J429,"Ж",'Форма по МДС 81-35.2004'!F412:F429),8)</f>
        <v>0</v>
      </c>
      <c r="L22" s="38">
        <f>ROUND('Форма по МДС 81-35.2004'!F412*'Базовые цены за единицу'!L22,2)</f>
        <v>0</v>
      </c>
      <c r="M22" s="38">
        <f>ROUND('Форма по МДС 81-35.2004'!F412*'Базовые цены за единицу'!M22,2)</f>
        <v>0</v>
      </c>
      <c r="N22" s="38">
        <f>ROUND((C22+E22)*'Форма по МДС 81-35.2004'!M424/100,2)</f>
        <v>0</v>
      </c>
      <c r="O22" s="38">
        <f>ROUND((C22+E22)*'Форма по МДС 81-35.2004'!M427/100,2)</f>
        <v>0</v>
      </c>
      <c r="P22" s="38">
        <f>ROUND('Форма по МДС 81-35.2004'!F412*'Базовые цены за единицу'!P22,2)</f>
        <v>0</v>
      </c>
      <c r="Q22" s="38">
        <f>ROUND('Форма по МДС 81-35.2004'!F412*'Базовые цены за единицу'!Q22,2)</f>
        <v>0</v>
      </c>
      <c r="R22" s="38">
        <f>ROUND('Форма по МДС 81-35.2004'!F412*'Базовые цены за единицу'!R22,2)</f>
        <v>0</v>
      </c>
      <c r="S22" s="38">
        <f>ROUND('Форма по МДС 81-35.2004'!F412*'Базовые цены за единицу'!S22,2)</f>
        <v>0</v>
      </c>
      <c r="T22" s="38">
        <f>ROUND('Форма по МДС 81-35.2004'!F412*'Базовые цены за единицу'!T22,2)</f>
        <v>0</v>
      </c>
      <c r="U22" s="38">
        <f>ROUND('Форма по МДС 81-35.2004'!F412*'Базовые цены за единицу'!U22,2)</f>
        <v>0</v>
      </c>
      <c r="V22" s="38">
        <f>ROUND('Форма по МДС 81-35.2004'!F412*'Базовые цены за единицу'!V22,2)</f>
        <v>0</v>
      </c>
      <c r="X22" s="38">
        <f>ROUND('Форма по МДС 81-35.2004'!F412*'Базовые цены за единицу'!X22,2)</f>
        <v>0</v>
      </c>
      <c r="Y22" s="38">
        <f>IF(Определители!I22="9",ROUND((C22+E22)*(Начисления!M22/100)*('Форма по МДС 81-35.2004'!M424/100),2),0)</f>
        <v>0</v>
      </c>
      <c r="Z22" s="38">
        <f>IF(Определители!I22="9",ROUND((C22+E22)*(100-Начисления!M22/100)*('Форма по МДС 81-35.2004'!M424/100),2),0)</f>
        <v>0</v>
      </c>
      <c r="AA22" s="38">
        <f>IF(Определители!I22="9",ROUND((C22+E22)*(Начисления!M22/100)*('Форма по МДС 81-35.2004'!M427/100),2),0)</f>
        <v>0</v>
      </c>
      <c r="AB22" s="38">
        <f>IF(Определители!I22="9",ROUND((C22+E22)*(100-Начисления!M22/100)*('Форма по МДС 81-35.2004'!M427/100),2),0)</f>
        <v>0</v>
      </c>
      <c r="AC22" s="38">
        <f>IF(Определители!I22="9",ROUND(B22*Начисления!M22/100,2),0)</f>
        <v>0</v>
      </c>
      <c r="AD22" s="38">
        <f>IF(Определители!I22="9",ROUND(B22*(100-Начисления!M22)/100,2),0)</f>
        <v>0</v>
      </c>
      <c r="AE22" s="38">
        <f>ROUND('Форма по МДС 81-35.2004'!F412*'Базовые цены за единицу'!AE22,2)</f>
        <v>0</v>
      </c>
    </row>
    <row r="23" spans="1:31" ht="10.5">
      <c r="A23" s="38" t="str">
        <f>'Форма по МДС 81-35.2004'!A430</f>
        <v>18.</v>
      </c>
      <c r="B23" s="38">
        <f>'Форма по МДС 81-35.2004'!N430</f>
        <v>0</v>
      </c>
      <c r="C23" s="38">
        <f>ROUND(SUMIF('Форма по МДС 81-35.2004'!J430:J447,"Г",'Форма по МДС 81-35.2004'!N430:N447),2)</f>
        <v>0</v>
      </c>
      <c r="D23" s="38">
        <f>ROUND(SUMIF('Форма по МДС 81-35.2004'!J430:J447,"IsMash",'Форма по МДС 81-35.2004'!N430:N447),2)</f>
        <v>0</v>
      </c>
      <c r="E23" s="38">
        <f>'Форма по МДС 81-35.2004'!N431</f>
        <v>0</v>
      </c>
      <c r="F23" s="38">
        <f>ROUND(SUMIF('Форма по МДС 81-35.2004'!J430:J447,"IsMater",'Форма по МДС 81-35.2004'!N430:N447),2)</f>
        <v>0</v>
      </c>
      <c r="G23" s="38">
        <f>ROUND('Форма по МДС 81-35.2004'!F430*'Базовые цены за единицу'!G23,2)</f>
        <v>0</v>
      </c>
      <c r="H23" s="38">
        <f>ROUND('Форма по МДС 81-35.2004'!F430*'Базовые цены за единицу'!H23,2)</f>
        <v>0</v>
      </c>
      <c r="I23" s="33">
        <f>ОКРУГЛВСЕ(SUMIF('Форма по МДС 81-35.2004'!J430:J447,"Г",'Форма по МДС 81-35.2004'!F430:F447),8)</f>
        <v>0</v>
      </c>
      <c r="J23" s="33">
        <f>ОКРУГЛВСЕ('Форма по МДС 81-35.2004'!F430*'Базовые цены за единицу'!J23,8)</f>
        <v>0</v>
      </c>
      <c r="K23" s="33">
        <f>ОКРУГЛВСЕ(SUMIF('Форма по МДС 81-35.2004'!J430:J447,"Ж",'Форма по МДС 81-35.2004'!F430:F447),8)</f>
        <v>0</v>
      </c>
      <c r="L23" s="38">
        <f>ROUND('Форма по МДС 81-35.2004'!F430*'Базовые цены за единицу'!L23,2)</f>
        <v>0</v>
      </c>
      <c r="M23" s="38">
        <f>ROUND('Форма по МДС 81-35.2004'!F430*'Базовые цены за единицу'!M23,2)</f>
        <v>0</v>
      </c>
      <c r="N23" s="38">
        <f>ROUND((C23+E23)*'Форма по МДС 81-35.2004'!M442/100,2)</f>
        <v>0</v>
      </c>
      <c r="O23" s="38">
        <f>ROUND((C23+E23)*'Форма по МДС 81-35.2004'!M445/100,2)</f>
        <v>0</v>
      </c>
      <c r="P23" s="38">
        <f>ROUND('Форма по МДС 81-35.2004'!F430*'Базовые цены за единицу'!P23,2)</f>
        <v>0</v>
      </c>
      <c r="Q23" s="38">
        <f>ROUND('Форма по МДС 81-35.2004'!F430*'Базовые цены за единицу'!Q23,2)</f>
        <v>0</v>
      </c>
      <c r="R23" s="38">
        <f>ROUND('Форма по МДС 81-35.2004'!F430*'Базовые цены за единицу'!R23,2)</f>
        <v>0</v>
      </c>
      <c r="S23" s="38">
        <f>ROUND('Форма по МДС 81-35.2004'!F430*'Базовые цены за единицу'!S23,2)</f>
        <v>0</v>
      </c>
      <c r="T23" s="38">
        <f>ROUND('Форма по МДС 81-35.2004'!F430*'Базовые цены за единицу'!T23,2)</f>
        <v>0</v>
      </c>
      <c r="U23" s="38">
        <f>ROUND('Форма по МДС 81-35.2004'!F430*'Базовые цены за единицу'!U23,2)</f>
        <v>0</v>
      </c>
      <c r="V23" s="38">
        <f>ROUND('Форма по МДС 81-35.2004'!F430*'Базовые цены за единицу'!V23,2)</f>
        <v>0</v>
      </c>
      <c r="X23" s="38">
        <f>ROUND('Форма по МДС 81-35.2004'!F430*'Базовые цены за единицу'!X23,2)</f>
        <v>0</v>
      </c>
      <c r="Y23" s="38">
        <f>IF(Определители!I23="9",ROUND((C23+E23)*(Начисления!M23/100)*('Форма по МДС 81-35.2004'!M442/100),2),0)</f>
        <v>0</v>
      </c>
      <c r="Z23" s="38">
        <f>IF(Определители!I23="9",ROUND((C23+E23)*(100-Начисления!M23/100)*('Форма по МДС 81-35.2004'!M442/100),2),0)</f>
        <v>0</v>
      </c>
      <c r="AA23" s="38">
        <f>IF(Определители!I23="9",ROUND((C23+E23)*(Начисления!M23/100)*('Форма по МДС 81-35.2004'!M445/100),2),0)</f>
        <v>0</v>
      </c>
      <c r="AB23" s="38">
        <f>IF(Определители!I23="9",ROUND((C23+E23)*(100-Начисления!M23/100)*('Форма по МДС 81-35.2004'!M445/100),2),0)</f>
        <v>0</v>
      </c>
      <c r="AC23" s="38">
        <f>IF(Определители!I23="9",ROUND(B23*Начисления!M23/100,2),0)</f>
        <v>0</v>
      </c>
      <c r="AD23" s="38">
        <f>IF(Определители!I23="9",ROUND(B23*(100-Начисления!M23)/100,2),0)</f>
        <v>0</v>
      </c>
      <c r="AE23" s="38">
        <f>ROUND('Форма по МДС 81-35.2004'!F430*'Базовые цены за единицу'!AE23,2)</f>
        <v>0</v>
      </c>
    </row>
    <row r="24" spans="1:31" ht="10.5">
      <c r="A24" s="38" t="str">
        <f>'Форма по МДС 81-35.2004'!A448</f>
        <v>19.</v>
      </c>
      <c r="B24" s="38">
        <f>'Форма по МДС 81-35.2004'!N448</f>
        <v>0</v>
      </c>
      <c r="C24" s="38">
        <f>ROUND(SUMIF('Форма по МДС 81-35.2004'!J448:J465,"Г",'Форма по МДС 81-35.2004'!N448:N465),2)</f>
        <v>0</v>
      </c>
      <c r="D24" s="38">
        <f>ROUND(SUMIF('Форма по МДС 81-35.2004'!J448:J465,"IsMash",'Форма по МДС 81-35.2004'!N448:N465),2)</f>
        <v>0</v>
      </c>
      <c r="E24" s="38">
        <f>'Форма по МДС 81-35.2004'!N449</f>
        <v>0</v>
      </c>
      <c r="F24" s="38">
        <f>ROUND(SUMIF('Форма по МДС 81-35.2004'!J448:J465,"IsMater",'Форма по МДС 81-35.2004'!N448:N465),2)</f>
        <v>0</v>
      </c>
      <c r="G24" s="38">
        <f>ROUND('Форма по МДС 81-35.2004'!F448*'Базовые цены за единицу'!G24,2)</f>
        <v>0</v>
      </c>
      <c r="H24" s="38">
        <f>ROUND('Форма по МДС 81-35.2004'!F448*'Базовые цены за единицу'!H24,2)</f>
        <v>0</v>
      </c>
      <c r="I24" s="33">
        <f>ОКРУГЛВСЕ(SUMIF('Форма по МДС 81-35.2004'!J448:J465,"Г",'Форма по МДС 81-35.2004'!F448:F465),8)</f>
        <v>0</v>
      </c>
      <c r="J24" s="33">
        <f>ОКРУГЛВСЕ('Форма по МДС 81-35.2004'!F448*'Базовые цены за единицу'!J24,8)</f>
        <v>0</v>
      </c>
      <c r="K24" s="33">
        <f>ОКРУГЛВСЕ(SUMIF('Форма по МДС 81-35.2004'!J448:J465,"Ж",'Форма по МДС 81-35.2004'!F448:F465),8)</f>
        <v>0</v>
      </c>
      <c r="L24" s="38">
        <f>ROUND('Форма по МДС 81-35.2004'!F448*'Базовые цены за единицу'!L24,2)</f>
        <v>0</v>
      </c>
      <c r="M24" s="38">
        <f>ROUND('Форма по МДС 81-35.2004'!F448*'Базовые цены за единицу'!M24,2)</f>
        <v>0</v>
      </c>
      <c r="N24" s="38">
        <f>ROUND((C24+E24)*'Форма по МДС 81-35.2004'!M460/100,2)</f>
        <v>0</v>
      </c>
      <c r="O24" s="38">
        <f>ROUND((C24+E24)*'Форма по МДС 81-35.2004'!M463/100,2)</f>
        <v>0</v>
      </c>
      <c r="P24" s="38">
        <f>ROUND('Форма по МДС 81-35.2004'!F448*'Базовые цены за единицу'!P24,2)</f>
        <v>0</v>
      </c>
      <c r="Q24" s="38">
        <f>ROUND('Форма по МДС 81-35.2004'!F448*'Базовые цены за единицу'!Q24,2)</f>
        <v>0</v>
      </c>
      <c r="R24" s="38">
        <f>ROUND('Форма по МДС 81-35.2004'!F448*'Базовые цены за единицу'!R24,2)</f>
        <v>0</v>
      </c>
      <c r="S24" s="38">
        <f>ROUND('Форма по МДС 81-35.2004'!F448*'Базовые цены за единицу'!S24,2)</f>
        <v>0</v>
      </c>
      <c r="T24" s="38">
        <f>ROUND('Форма по МДС 81-35.2004'!F448*'Базовые цены за единицу'!T24,2)</f>
        <v>0</v>
      </c>
      <c r="U24" s="38">
        <f>ROUND('Форма по МДС 81-35.2004'!F448*'Базовые цены за единицу'!U24,2)</f>
        <v>0</v>
      </c>
      <c r="V24" s="38">
        <f>ROUND('Форма по МДС 81-35.2004'!F448*'Базовые цены за единицу'!V24,2)</f>
        <v>0</v>
      </c>
      <c r="X24" s="38">
        <f>ROUND('Форма по МДС 81-35.2004'!F448*'Базовые цены за единицу'!X24,2)</f>
        <v>0</v>
      </c>
      <c r="Y24" s="38">
        <f>IF(Определители!I24="9",ROUND((C24+E24)*(Начисления!M24/100)*('Форма по МДС 81-35.2004'!M460/100),2),0)</f>
        <v>0</v>
      </c>
      <c r="Z24" s="38">
        <f>IF(Определители!I24="9",ROUND((C24+E24)*(100-Начисления!M24/100)*('Форма по МДС 81-35.2004'!M460/100),2),0)</f>
        <v>0</v>
      </c>
      <c r="AA24" s="38">
        <f>IF(Определители!I24="9",ROUND((C24+E24)*(Начисления!M24/100)*('Форма по МДС 81-35.2004'!M463/100),2),0)</f>
        <v>0</v>
      </c>
      <c r="AB24" s="38">
        <f>IF(Определители!I24="9",ROUND((C24+E24)*(100-Начисления!M24/100)*('Форма по МДС 81-35.2004'!M463/100),2),0)</f>
        <v>0</v>
      </c>
      <c r="AC24" s="38">
        <f>IF(Определители!I24="9",ROUND(B24*Начисления!M24/100,2),0)</f>
        <v>0</v>
      </c>
      <c r="AD24" s="38">
        <f>IF(Определители!I24="9",ROUND(B24*(100-Начисления!M24)/100,2),0)</f>
        <v>0</v>
      </c>
      <c r="AE24" s="38">
        <f>ROUND('Форма по МДС 81-35.2004'!F448*'Базовые цены за единицу'!AE24,2)</f>
        <v>0</v>
      </c>
    </row>
    <row r="25" spans="1:31" ht="10.5">
      <c r="A25" s="38" t="str">
        <f>'Форма по МДС 81-35.2004'!A466</f>
        <v>20.</v>
      </c>
      <c r="B25" s="38">
        <f>'Форма по МДС 81-35.2004'!N466</f>
        <v>0</v>
      </c>
      <c r="C25" s="38">
        <f>ROUND(SUMIF('Форма по МДС 81-35.2004'!J466:J483,"Г",'Форма по МДС 81-35.2004'!N466:N483),2)</f>
        <v>0</v>
      </c>
      <c r="D25" s="38">
        <f>ROUND(SUMIF('Форма по МДС 81-35.2004'!J466:J483,"IsMash",'Форма по МДС 81-35.2004'!N466:N483),2)</f>
        <v>0</v>
      </c>
      <c r="E25" s="38">
        <f>'Форма по МДС 81-35.2004'!N467</f>
        <v>0</v>
      </c>
      <c r="F25" s="38">
        <f>ROUND(SUMIF('Форма по МДС 81-35.2004'!J466:J483,"IsMater",'Форма по МДС 81-35.2004'!N466:N483),2)</f>
        <v>0</v>
      </c>
      <c r="G25" s="38">
        <f>ROUND('Форма по МДС 81-35.2004'!F466*'Базовые цены за единицу'!G25,2)</f>
        <v>0</v>
      </c>
      <c r="H25" s="38">
        <f>ROUND('Форма по МДС 81-35.2004'!F466*'Базовые цены за единицу'!H25,2)</f>
        <v>0</v>
      </c>
      <c r="I25" s="33">
        <f>ОКРУГЛВСЕ(SUMIF('Форма по МДС 81-35.2004'!J466:J483,"Г",'Форма по МДС 81-35.2004'!F466:F483),8)</f>
        <v>0</v>
      </c>
      <c r="J25" s="33">
        <f>ОКРУГЛВСЕ('Форма по МДС 81-35.2004'!F466*'Базовые цены за единицу'!J25,8)</f>
        <v>0</v>
      </c>
      <c r="K25" s="33">
        <f>ОКРУГЛВСЕ(SUMIF('Форма по МДС 81-35.2004'!J466:J483,"Ж",'Форма по МДС 81-35.2004'!F466:F483),8)</f>
        <v>0</v>
      </c>
      <c r="L25" s="38">
        <f>ROUND('Форма по МДС 81-35.2004'!F466*'Базовые цены за единицу'!L25,2)</f>
        <v>0</v>
      </c>
      <c r="M25" s="38">
        <f>ROUND('Форма по МДС 81-35.2004'!F466*'Базовые цены за единицу'!M25,2)</f>
        <v>0</v>
      </c>
      <c r="N25" s="38">
        <f>ROUND((C25+E25)*'Форма по МДС 81-35.2004'!M478/100,2)</f>
        <v>0</v>
      </c>
      <c r="O25" s="38">
        <f>ROUND((C25+E25)*'Форма по МДС 81-35.2004'!M481/100,2)</f>
        <v>0</v>
      </c>
      <c r="P25" s="38">
        <f>ROUND('Форма по МДС 81-35.2004'!F466*'Базовые цены за единицу'!P25,2)</f>
        <v>0</v>
      </c>
      <c r="Q25" s="38">
        <f>ROUND('Форма по МДС 81-35.2004'!F466*'Базовые цены за единицу'!Q25,2)</f>
        <v>0</v>
      </c>
      <c r="R25" s="38">
        <f>ROUND('Форма по МДС 81-35.2004'!F466*'Базовые цены за единицу'!R25,2)</f>
        <v>0</v>
      </c>
      <c r="S25" s="38">
        <f>ROUND('Форма по МДС 81-35.2004'!F466*'Базовые цены за единицу'!S25,2)</f>
        <v>0</v>
      </c>
      <c r="T25" s="38">
        <f>ROUND('Форма по МДС 81-35.2004'!F466*'Базовые цены за единицу'!T25,2)</f>
        <v>0</v>
      </c>
      <c r="U25" s="38">
        <f>ROUND('Форма по МДС 81-35.2004'!F466*'Базовые цены за единицу'!U25,2)</f>
        <v>0</v>
      </c>
      <c r="V25" s="38">
        <f>ROUND('Форма по МДС 81-35.2004'!F466*'Базовые цены за единицу'!V25,2)</f>
        <v>0</v>
      </c>
      <c r="X25" s="38">
        <f>ROUND('Форма по МДС 81-35.2004'!F466*'Базовые цены за единицу'!X25,2)</f>
        <v>0</v>
      </c>
      <c r="Y25" s="38">
        <f>IF(Определители!I25="9",ROUND((C25+E25)*(Начисления!M25/100)*('Форма по МДС 81-35.2004'!M478/100),2),0)</f>
        <v>0</v>
      </c>
      <c r="Z25" s="38">
        <f>IF(Определители!I25="9",ROUND((C25+E25)*(100-Начисления!M25/100)*('Форма по МДС 81-35.2004'!M478/100),2),0)</f>
        <v>0</v>
      </c>
      <c r="AA25" s="38">
        <f>IF(Определители!I25="9",ROUND((C25+E25)*(Начисления!M25/100)*('Форма по МДС 81-35.2004'!M481/100),2),0)</f>
        <v>0</v>
      </c>
      <c r="AB25" s="38">
        <f>IF(Определители!I25="9",ROUND((C25+E25)*(100-Начисления!M25/100)*('Форма по МДС 81-35.2004'!M481/100),2),0)</f>
        <v>0</v>
      </c>
      <c r="AC25" s="38">
        <f>IF(Определители!I25="9",ROUND(B25*Начисления!M25/100,2),0)</f>
        <v>0</v>
      </c>
      <c r="AD25" s="38">
        <f>IF(Определители!I25="9",ROUND(B25*(100-Начисления!M25)/100,2),0)</f>
        <v>0</v>
      </c>
      <c r="AE25" s="38">
        <f>ROUND('Форма по МДС 81-35.2004'!F466*'Базовые цены за единицу'!AE25,2)</f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E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3" customWidth="1"/>
    <col min="2" max="16384" width="9.140625" style="38" customWidth="1"/>
  </cols>
  <sheetData>
    <row r="1" spans="1:31" s="39" customFormat="1" ht="10.5">
      <c r="A1" s="6"/>
      <c r="B1" s="39" t="s">
        <v>420</v>
      </c>
      <c r="C1" s="39" t="s">
        <v>421</v>
      </c>
      <c r="D1" s="39" t="s">
        <v>422</v>
      </c>
      <c r="E1" s="39" t="s">
        <v>423</v>
      </c>
      <c r="F1" s="39" t="s">
        <v>424</v>
      </c>
      <c r="G1" s="39" t="s">
        <v>425</v>
      </c>
      <c r="H1" s="39" t="s">
        <v>426</v>
      </c>
      <c r="I1" s="39" t="s">
        <v>427</v>
      </c>
      <c r="J1" s="39" t="s">
        <v>428</v>
      </c>
      <c r="K1" s="39" t="s">
        <v>429</v>
      </c>
      <c r="L1" s="39" t="s">
        <v>430</v>
      </c>
      <c r="M1" s="39" t="s">
        <v>431</v>
      </c>
      <c r="N1" s="39" t="s">
        <v>432</v>
      </c>
      <c r="O1" s="39" t="s">
        <v>433</v>
      </c>
      <c r="P1" s="39" t="s">
        <v>434</v>
      </c>
      <c r="Q1" s="39" t="s">
        <v>435</v>
      </c>
      <c r="R1" s="39" t="s">
        <v>436</v>
      </c>
      <c r="S1" s="39" t="s">
        <v>437</v>
      </c>
      <c r="T1" s="39" t="s">
        <v>438</v>
      </c>
      <c r="U1" s="39" t="s">
        <v>439</v>
      </c>
      <c r="V1" s="39" t="s">
        <v>440</v>
      </c>
      <c r="X1" s="39" t="s">
        <v>441</v>
      </c>
      <c r="Y1" s="39" t="s">
        <v>442</v>
      </c>
      <c r="Z1" s="39" t="s">
        <v>443</v>
      </c>
      <c r="AA1" s="39" t="s">
        <v>444</v>
      </c>
      <c r="AB1" s="39" t="s">
        <v>445</v>
      </c>
      <c r="AC1" s="39" t="s">
        <v>446</v>
      </c>
      <c r="AD1" s="39" t="s">
        <v>447</v>
      </c>
      <c r="AE1" s="39" t="s">
        <v>448</v>
      </c>
    </row>
    <row r="2" spans="1:8" ht="10.5">
      <c r="A2" s="85"/>
      <c r="B2" s="86"/>
      <c r="C2" s="86"/>
      <c r="D2" s="86"/>
      <c r="E2" s="86"/>
      <c r="F2" s="86"/>
      <c r="G2" s="86"/>
      <c r="H2" s="86"/>
    </row>
    <row r="3" spans="1:8" ht="10.5">
      <c r="A3" s="40"/>
      <c r="B3" s="87" t="s">
        <v>449</v>
      </c>
      <c r="C3" s="87"/>
      <c r="D3" s="87"/>
      <c r="E3" s="87"/>
      <c r="F3" s="87"/>
      <c r="G3" s="87"/>
      <c r="H3" s="87"/>
    </row>
    <row r="4" spans="1:8" ht="10.5">
      <c r="A4" s="40"/>
      <c r="B4" s="87" t="s">
        <v>450</v>
      </c>
      <c r="C4" s="87"/>
      <c r="D4" s="87"/>
      <c r="E4" s="87"/>
      <c r="F4" s="87"/>
      <c r="G4" s="87"/>
      <c r="H4" s="87"/>
    </row>
    <row r="5" spans="1:8" ht="10.5">
      <c r="A5" s="85"/>
      <c r="B5" s="86"/>
      <c r="C5" s="86"/>
      <c r="D5" s="86"/>
      <c r="E5" s="86"/>
      <c r="F5" s="86"/>
      <c r="G5" s="86"/>
      <c r="H5" s="86"/>
    </row>
    <row r="6" spans="1:31" ht="10.5">
      <c r="A6" s="38" t="str">
        <f>'Форма по МДС 81-35.2004'!A25</f>
        <v>1.</v>
      </c>
      <c r="B6" s="38">
        <f>'Форма по МДС 81-35.2004'!H25</f>
        <v>21925.2</v>
      </c>
      <c r="C6" s="38">
        <f>ROUND(SUMIF('Форма по МДС 81-35.2004'!J25:J44,"Г",'Форма по МДС 81-35.2004'!H25:H44),2)</f>
        <v>0</v>
      </c>
      <c r="D6" s="38">
        <f>ROUND(SUMIF('Форма по МДС 81-35.2004'!J25:J44,"IsMash",'Форма по МДС 81-35.2004'!H25:H44),2)</f>
        <v>21925.2</v>
      </c>
      <c r="E6" s="38">
        <f>'Форма по МДС 81-35.2004'!H26</f>
        <v>7126.96</v>
      </c>
      <c r="F6" s="38">
        <f>ROUND(SUMIF('Форма по МДС 81-35.2004'!J25:J44,"IsMater",'Форма по МДС 81-35.2004'!H25:H44),2)</f>
        <v>0</v>
      </c>
      <c r="G6" s="38">
        <f>ROUND('Форма по МДС 81-35.2004'!F25*'Текущие цены за единицу'!G6,2)</f>
        <v>0</v>
      </c>
      <c r="H6" s="38">
        <f>ROUND('Форма по МДС 81-35.2004'!F25*'Текущие цены за единицу'!H6,2)</f>
        <v>0</v>
      </c>
      <c r="I6" s="33">
        <f>ОКРУГЛВСЕ(SUMIF('Форма по МДС 81-35.2004'!J25:J44,"Г",'Форма по МДС 81-35.2004'!F25:F44),8)</f>
        <v>0</v>
      </c>
      <c r="J6" s="33">
        <f>ОКРУГЛВСЕ('Форма по МДС 81-35.2004'!F25*'Текущие цены за единицу'!J6,8)</f>
        <v>0</v>
      </c>
      <c r="K6" s="33">
        <f>ОКРУГЛВСЕ(SUMIF('Форма по МДС 81-35.2004'!J25:J44,"Ж",'Форма по МДС 81-35.2004'!F25:F44),8)</f>
        <v>48.21375</v>
      </c>
      <c r="L6" s="38">
        <f>ROUND('Форма по МДС 81-35.2004'!F25*'Текущие цены за единицу'!L6,2)</f>
        <v>0</v>
      </c>
      <c r="M6" s="38">
        <f>ROUND('Форма по МДС 81-35.2004'!F25*'Текущие цены за единицу'!M6,2)</f>
        <v>0</v>
      </c>
      <c r="N6" s="38">
        <f>ROUND((C6+E6)*'Форма по МДС 81-35.2004'!G38/100,2)</f>
        <v>6093.55</v>
      </c>
      <c r="O6" s="38">
        <f>ROUND((C6+E6)*'Форма по МДС 81-35.2004'!G41/100,2)</f>
        <v>3028.96</v>
      </c>
      <c r="P6" s="38">
        <f>ROUND('Форма по МДС 81-35.2004'!F25*'Текущие цены за единицу'!P6,2)</f>
        <v>0</v>
      </c>
      <c r="Q6" s="38">
        <f>ROUND('Форма по МДС 81-35.2004'!F25*'Текущие цены за единицу'!Q6,2)</f>
        <v>6093.54</v>
      </c>
      <c r="R6" s="38">
        <f>ROUND('Форма по МДС 81-35.2004'!F25*'Текущие цены за единицу'!R6,2)</f>
        <v>0</v>
      </c>
      <c r="S6" s="38">
        <f>ROUND('Форма по МДС 81-35.2004'!F25*'Текущие цены за единицу'!S6,2)</f>
        <v>3028.95</v>
      </c>
      <c r="T6" s="38">
        <f>ROUND('Форма по МДС 81-35.2004'!F25*'Текущие цены за единицу'!T6,2)</f>
        <v>0</v>
      </c>
      <c r="U6" s="38">
        <f>ROUND('Форма по МДС 81-35.2004'!F25*'Текущие цены за единицу'!U6,2)</f>
        <v>0</v>
      </c>
      <c r="V6" s="38">
        <f>ROUND('Форма по МДС 81-35.2004'!F25*'Текущие цены за единицу'!V6,2)</f>
        <v>0</v>
      </c>
      <c r="X6" s="38">
        <f>ROUND('Форма по МДС 81-35.2004'!F25*'Текущие цены за единицу'!X6,2)</f>
        <v>0</v>
      </c>
      <c r="Y6" s="38">
        <f>IF(Определители!I6="9",ROUND((C6+E6)*(Начисления!M6/100)*('Форма по МДС 81-35.2004'!G38/100),2),0)</f>
        <v>0</v>
      </c>
      <c r="Z6" s="38">
        <f>IF(Определители!I6="9",ROUND((C6+E6)*(100-Начисления!M6/100)*('Форма по МДС 81-35.2004'!G38/100),2),0)</f>
        <v>0</v>
      </c>
      <c r="AA6" s="38">
        <f>IF(Определители!I6="9",ROUND((C6+E6)*(Начисления!M6/100)*('Форма по МДС 81-35.2004'!G41/100),2),0)</f>
        <v>0</v>
      </c>
      <c r="AB6" s="38">
        <f>IF(Определители!I6="9",ROUND((C6+E6)*(100-Начисления!M6/100)*('Форма по МДС 81-35.2004'!G41/100),2),0)</f>
        <v>0</v>
      </c>
      <c r="AC6" s="38">
        <f>IF(Определители!I6="9",ROUND(B6*Начисления!M6/100,2),0)</f>
        <v>0</v>
      </c>
      <c r="AD6" s="38">
        <f>IF(Определители!I6="9",ROUND(B6*(100-Начисления!M6)/100,2),0)</f>
        <v>0</v>
      </c>
      <c r="AE6" s="38">
        <f>ROUND('Форма по МДС 81-35.2004'!F25*'Текущие цены за единицу'!AE6,2)</f>
        <v>0</v>
      </c>
    </row>
    <row r="7" spans="1:31" ht="10.5">
      <c r="A7" s="38" t="str">
        <f>'Форма по МДС 81-35.2004'!A45</f>
        <v>2.</v>
      </c>
      <c r="B7" s="38">
        <f>'Форма по МДС 81-35.2004'!H45</f>
        <v>13442.01</v>
      </c>
      <c r="C7" s="38">
        <f>ROUND(SUMIF('Форма по МДС 81-35.2004'!J45:J64,"Г",'Форма по МДС 81-35.2004'!H45:H64),2)</f>
        <v>13442.01</v>
      </c>
      <c r="D7" s="38">
        <f>ROUND(SUMIF('Форма по МДС 81-35.2004'!J45:J64,"IsMash",'Форма по МДС 81-35.2004'!H45:H64),2)</f>
        <v>0</v>
      </c>
      <c r="E7" s="38">
        <f>'Форма по МДС 81-35.2004'!H47</f>
        <v>0</v>
      </c>
      <c r="F7" s="38">
        <f>ROUND(SUMIF('Форма по МДС 81-35.2004'!J45:J64,"IsMater",'Форма по МДС 81-35.2004'!H45:H64),2)</f>
        <v>0</v>
      </c>
      <c r="G7" s="38">
        <f>ROUND('Форма по МДС 81-35.2004'!F45*'Текущие цены за единицу'!G7,2)</f>
        <v>0</v>
      </c>
      <c r="H7" s="38">
        <f>ROUND('Форма по МДС 81-35.2004'!F45*'Текущие цены за единицу'!H7,2)</f>
        <v>0</v>
      </c>
      <c r="I7" s="33">
        <f>ОКРУГЛВСЕ(SUMIF('Форма по МДС 81-35.2004'!J45:J64,"Г",'Форма по МДС 81-35.2004'!F45:F64),8)</f>
        <v>163.0125</v>
      </c>
      <c r="J7" s="33">
        <f>ОКРУГЛВСЕ('Форма по МДС 81-35.2004'!F45*'Текущие цены за единицу'!J7,8)</f>
        <v>0</v>
      </c>
      <c r="K7" s="33">
        <f>ОКРУГЛВСЕ(SUMIF('Форма по МДС 81-35.2004'!J45:J64,"Ж",'Форма по МДС 81-35.2004'!F45:F64),8)</f>
        <v>0</v>
      </c>
      <c r="L7" s="38">
        <f>ROUND('Форма по МДС 81-35.2004'!F45*'Текущие цены за единицу'!L7,2)</f>
        <v>0</v>
      </c>
      <c r="M7" s="38">
        <f>ROUND('Форма по МДС 81-35.2004'!F45*'Текущие цены за единицу'!M7,2)</f>
        <v>0</v>
      </c>
      <c r="N7" s="38">
        <f>ROUND((C7+E7)*'Форма по МДС 81-35.2004'!G58/100,2)</f>
        <v>9678.25</v>
      </c>
      <c r="O7" s="38">
        <f>ROUND((C7+E7)*'Форма по МДС 81-35.2004'!G61/100,2)</f>
        <v>5141.57</v>
      </c>
      <c r="P7" s="38">
        <f>ROUND('Форма по МДС 81-35.2004'!F45*'Текущие цены за единицу'!P7,2)</f>
        <v>9778.62</v>
      </c>
      <c r="Q7" s="38">
        <f>ROUND('Форма по МДС 81-35.2004'!F45*'Текущие цены за единицу'!Q7,2)</f>
        <v>0</v>
      </c>
      <c r="R7" s="38">
        <f>ROUND('Форма по МДС 81-35.2004'!F45*'Текущие цены за единицу'!R7,2)</f>
        <v>5194.89</v>
      </c>
      <c r="S7" s="38">
        <f>ROUND('Форма по МДС 81-35.2004'!F45*'Текущие цены за единицу'!S7,2)</f>
        <v>0</v>
      </c>
      <c r="T7" s="38">
        <f>ROUND('Форма по МДС 81-35.2004'!F45*'Текущие цены за единицу'!T7,2)</f>
        <v>0</v>
      </c>
      <c r="U7" s="38">
        <f>ROUND('Форма по МДС 81-35.2004'!F45*'Текущие цены за единицу'!U7,2)</f>
        <v>0</v>
      </c>
      <c r="V7" s="38">
        <f>ROUND('Форма по МДС 81-35.2004'!F45*'Текущие цены за единицу'!V7,2)</f>
        <v>0</v>
      </c>
      <c r="X7" s="38">
        <f>ROUND('Форма по МДС 81-35.2004'!F45*'Текущие цены за единицу'!X7,2)</f>
        <v>0</v>
      </c>
      <c r="Y7" s="38">
        <f>IF(Определители!I7="9",ROUND((C7+E7)*(Начисления!M7/100)*('Форма по МДС 81-35.2004'!G58/100),2),0)</f>
        <v>0</v>
      </c>
      <c r="Z7" s="38">
        <f>IF(Определители!I7="9",ROUND((C7+E7)*(100-Начисления!M7/100)*('Форма по МДС 81-35.2004'!G58/100),2),0)</f>
        <v>0</v>
      </c>
      <c r="AA7" s="38">
        <f>IF(Определители!I7="9",ROUND((C7+E7)*(Начисления!M7/100)*('Форма по МДС 81-35.2004'!G61/100),2),0)</f>
        <v>0</v>
      </c>
      <c r="AB7" s="38">
        <f>IF(Определители!I7="9",ROUND((C7+E7)*(100-Начисления!M7/100)*('Форма по МДС 81-35.2004'!G61/100),2),0)</f>
        <v>0</v>
      </c>
      <c r="AC7" s="38">
        <f>IF(Определители!I7="9",ROUND(B7*Начисления!M7/100,2),0)</f>
        <v>0</v>
      </c>
      <c r="AD7" s="38">
        <f>IF(Определители!I7="9",ROUND(B7*(100-Начисления!M7)/100,2),0)</f>
        <v>0</v>
      </c>
      <c r="AE7" s="38">
        <f>ROUND('Форма по МДС 81-35.2004'!F45*'Текущие цены за единицу'!AE7,2)</f>
        <v>0</v>
      </c>
    </row>
    <row r="8" spans="1:31" ht="10.5">
      <c r="A8" s="38" t="str">
        <f>'Форма по МДС 81-35.2004'!A65</f>
        <v>3.</v>
      </c>
      <c r="B8" s="38">
        <f>'Форма по МДС 81-35.2004'!H65</f>
        <v>11641.7</v>
      </c>
      <c r="C8" s="38">
        <f>ROUND(SUMIF('Форма по МДС 81-35.2004'!J65:J95,"Г",'Форма по МДС 81-35.2004'!H65:H95),2)</f>
        <v>7755.43</v>
      </c>
      <c r="D8" s="38">
        <f>ROUND(SUMIF('Форма по МДС 81-35.2004'!J65:J95,"IsMash",'Форма по МДС 81-35.2004'!H65:H95),2)</f>
        <v>3853.88</v>
      </c>
      <c r="E8" s="38">
        <f>'Форма по МДС 81-35.2004'!H66</f>
        <v>1340.12</v>
      </c>
      <c r="F8" s="38">
        <f>ROUND(SUMIF('Форма по МДС 81-35.2004'!J65:J95,"IsMater",'Форма по МДС 81-35.2004'!H65:H95),2)</f>
        <v>32.38</v>
      </c>
      <c r="G8" s="38">
        <f>ROUND('Форма по МДС 81-35.2004'!F65*'Текущие цены за единицу'!G8,2)</f>
        <v>29.18</v>
      </c>
      <c r="H8" s="38">
        <f>ROUND('Форма по МДС 81-35.2004'!F65*'Текущие цены за единицу'!H8,2)</f>
        <v>0</v>
      </c>
      <c r="I8" s="33">
        <f>ОКРУГЛВСЕ(SUMIF('Форма по МДС 81-35.2004'!J65:J95,"Г",'Форма по МДС 81-35.2004'!F65:F95),8)</f>
        <v>78.79938</v>
      </c>
      <c r="J8" s="33">
        <f>ОКРУГЛВСЕ('Форма по МДС 81-35.2004'!F65*'Текущие цены за единицу'!J8,8)</f>
        <v>0</v>
      </c>
      <c r="K8" s="33">
        <f>ОКРУГЛВСЕ(SUMIF('Форма по МДС 81-35.2004'!J65:J95,"Ж",'Форма по МДС 81-35.2004'!F65:F95),8)</f>
        <v>9.180105</v>
      </c>
      <c r="L8" s="38">
        <f>ROUND('Форма по МДС 81-35.2004'!F65*'Текущие цены за единицу'!L8,2)</f>
        <v>0</v>
      </c>
      <c r="M8" s="38">
        <f>ROUND('Форма по МДС 81-35.2004'!F65*'Текущие цены за единицу'!M8,2)</f>
        <v>0</v>
      </c>
      <c r="N8" s="38">
        <f>ROUND((C8+E8)*'Форма по МДС 81-35.2004'!G89/100,2)</f>
        <v>10641.79</v>
      </c>
      <c r="O8" s="38">
        <f>ROUND((C8+E8)*'Форма по МДС 81-35.2004'!G92/100,2)</f>
        <v>6880.78</v>
      </c>
      <c r="P8" s="38">
        <f>ROUND('Форма по МДС 81-35.2004'!F65*'Текущие цены за единицу'!P8,2)</f>
        <v>9073.86</v>
      </c>
      <c r="Q8" s="38">
        <f>ROUND('Форма по МДС 81-35.2004'!F65*'Текущие цены за единицу'!Q8,2)</f>
        <v>1567.95</v>
      </c>
      <c r="R8" s="38">
        <f>ROUND('Форма по МДС 81-35.2004'!F65*'Текущие цены за единицу'!R8,2)</f>
        <v>5866.99</v>
      </c>
      <c r="S8" s="38">
        <f>ROUND('Форма по МДС 81-35.2004'!F65*'Текущие цены за единицу'!S8,2)</f>
        <v>1013.81</v>
      </c>
      <c r="T8" s="38">
        <f>ROUND('Форма по МДС 81-35.2004'!F65*'Текущие цены за единицу'!T8,2)</f>
        <v>0</v>
      </c>
      <c r="U8" s="38">
        <f>ROUND('Форма по МДС 81-35.2004'!F65*'Текущие цены за единицу'!U8,2)</f>
        <v>0</v>
      </c>
      <c r="V8" s="38">
        <f>ROUND('Форма по МДС 81-35.2004'!F65*'Текущие цены за единицу'!V8,2)</f>
        <v>0</v>
      </c>
      <c r="X8" s="38">
        <f>ROUND('Форма по МДС 81-35.2004'!F65*'Текущие цены за единицу'!X8,2)</f>
        <v>0</v>
      </c>
      <c r="Y8" s="38">
        <f>IF(Определители!I8="9",ROUND((C8+E8)*(Начисления!M8/100)*('Форма по МДС 81-35.2004'!G89/100),2),0)</f>
        <v>0</v>
      </c>
      <c r="Z8" s="38">
        <f>IF(Определители!I8="9",ROUND((C8+E8)*(100-Начисления!M8/100)*('Форма по МДС 81-35.2004'!G89/100),2),0)</f>
        <v>0</v>
      </c>
      <c r="AA8" s="38">
        <f>IF(Определители!I8="9",ROUND((C8+E8)*(Начисления!M8/100)*('Форма по МДС 81-35.2004'!G92/100),2),0)</f>
        <v>0</v>
      </c>
      <c r="AB8" s="38">
        <f>IF(Определители!I8="9",ROUND((C8+E8)*(100-Начисления!M8/100)*('Форма по МДС 81-35.2004'!G92/100),2),0)</f>
        <v>0</v>
      </c>
      <c r="AC8" s="38">
        <f>IF(Определители!I8="9",ROUND(B8*Начисления!M8/100,2),0)</f>
        <v>0</v>
      </c>
      <c r="AD8" s="38">
        <f>IF(Определители!I8="9",ROUND(B8*(100-Начисления!M8)/100,2),0)</f>
        <v>0</v>
      </c>
      <c r="AE8" s="38">
        <f>ROUND('Форма по МДС 81-35.2004'!F65*'Текущие цены за единицу'!AE8,2)</f>
        <v>0</v>
      </c>
    </row>
    <row r="9" spans="1:31" ht="10.5">
      <c r="A9" s="38" t="str">
        <f>'Форма по МДС 81-35.2004'!A96</f>
        <v>4.</v>
      </c>
      <c r="B9" s="38">
        <f>'Форма по МДС 81-35.2004'!H96</f>
        <v>8065.21</v>
      </c>
      <c r="C9" s="38">
        <f>ROUND(SUMIF('Форма по МДС 81-35.2004'!J96:J115,"Г",'Форма по МДС 81-35.2004'!H96:H115),2)</f>
        <v>8065.21</v>
      </c>
      <c r="D9" s="38">
        <f>ROUND(SUMIF('Форма по МДС 81-35.2004'!J96:J115,"IsMash",'Форма по МДС 81-35.2004'!H96:H115),2)</f>
        <v>0</v>
      </c>
      <c r="E9" s="38">
        <f>'Форма по МДС 81-35.2004'!H98</f>
        <v>0</v>
      </c>
      <c r="F9" s="38">
        <f>ROUND(SUMIF('Форма по МДС 81-35.2004'!J96:J115,"IsMater",'Форма по МДС 81-35.2004'!H96:H115),2)</f>
        <v>0</v>
      </c>
      <c r="G9" s="38">
        <f>ROUND('Форма по МДС 81-35.2004'!F96*'Текущие цены за единицу'!G9,2)</f>
        <v>0</v>
      </c>
      <c r="H9" s="38">
        <f>ROUND('Форма по МДС 81-35.2004'!F96*'Текущие цены за единицу'!H9,2)</f>
        <v>0</v>
      </c>
      <c r="I9" s="33">
        <f>ОКРУГЛВСЕ(SUMIF('Форма по МДС 81-35.2004'!J96:J115,"Г",'Форма по МДС 81-35.2004'!F96:F115),8)</f>
        <v>97.8075</v>
      </c>
      <c r="J9" s="33">
        <f>ОКРУГЛВСЕ('Форма по МДС 81-35.2004'!F96*'Текущие цены за единицу'!J9,8)</f>
        <v>0</v>
      </c>
      <c r="K9" s="33">
        <f>ОКРУГЛВСЕ(SUMIF('Форма по МДС 81-35.2004'!J96:J115,"Ж",'Форма по МДС 81-35.2004'!F96:F115),8)</f>
        <v>0</v>
      </c>
      <c r="L9" s="38">
        <f>ROUND('Форма по МДС 81-35.2004'!F96*'Текущие цены за единицу'!L9,2)</f>
        <v>0</v>
      </c>
      <c r="M9" s="38">
        <f>ROUND('Форма по МДС 81-35.2004'!F96*'Текущие цены за единицу'!M9,2)</f>
        <v>0</v>
      </c>
      <c r="N9" s="38">
        <f>ROUND((C9+E9)*'Форма по МДС 81-35.2004'!G109/100,2)</f>
        <v>5806.95</v>
      </c>
      <c r="O9" s="38">
        <f>ROUND((C9+E9)*'Форма по МДС 81-35.2004'!G112/100,2)</f>
        <v>3084.94</v>
      </c>
      <c r="P9" s="38">
        <f>ROUND('Форма по МДС 81-35.2004'!F96*'Текущие цены за единицу'!P9,2)</f>
        <v>5867.17</v>
      </c>
      <c r="Q9" s="38">
        <f>ROUND('Форма по МДС 81-35.2004'!F96*'Текущие цены за единицу'!Q9,2)</f>
        <v>0</v>
      </c>
      <c r="R9" s="38">
        <f>ROUND('Форма по МДС 81-35.2004'!F96*'Текущие цены за единицу'!R9,2)</f>
        <v>3116.93</v>
      </c>
      <c r="S9" s="38">
        <f>ROUND('Форма по МДС 81-35.2004'!F96*'Текущие цены за единицу'!S9,2)</f>
        <v>0</v>
      </c>
      <c r="T9" s="38">
        <f>ROUND('Форма по МДС 81-35.2004'!F96*'Текущие цены за единицу'!T9,2)</f>
        <v>0</v>
      </c>
      <c r="U9" s="38">
        <f>ROUND('Форма по МДС 81-35.2004'!F96*'Текущие цены за единицу'!U9,2)</f>
        <v>0</v>
      </c>
      <c r="V9" s="38">
        <f>ROUND('Форма по МДС 81-35.2004'!F96*'Текущие цены за единицу'!V9,2)</f>
        <v>0</v>
      </c>
      <c r="X9" s="38">
        <f>ROUND('Форма по МДС 81-35.2004'!F96*'Текущие цены за единицу'!X9,2)</f>
        <v>0</v>
      </c>
      <c r="Y9" s="38">
        <f>IF(Определители!I9="9",ROUND((C9+E9)*(Начисления!M9/100)*('Форма по МДС 81-35.2004'!G109/100),2),0)</f>
        <v>0</v>
      </c>
      <c r="Z9" s="38">
        <f>IF(Определители!I9="9",ROUND((C9+E9)*(100-Начисления!M9/100)*('Форма по МДС 81-35.2004'!G109/100),2),0)</f>
        <v>0</v>
      </c>
      <c r="AA9" s="38">
        <f>IF(Определители!I9="9",ROUND((C9+E9)*(Начисления!M9/100)*('Форма по МДС 81-35.2004'!G112/100),2),0)</f>
        <v>0</v>
      </c>
      <c r="AB9" s="38">
        <f>IF(Определители!I9="9",ROUND((C9+E9)*(100-Начисления!M9/100)*('Форма по МДС 81-35.2004'!G112/100),2),0)</f>
        <v>0</v>
      </c>
      <c r="AC9" s="38">
        <f>IF(Определители!I9="9",ROUND(B9*Начисления!M9/100,2),0)</f>
        <v>0</v>
      </c>
      <c r="AD9" s="38">
        <f>IF(Определители!I9="9",ROUND(B9*(100-Начисления!M9)/100,2),0)</f>
        <v>0</v>
      </c>
      <c r="AE9" s="38">
        <f>ROUND('Форма по МДС 81-35.2004'!F96*'Текущие цены за единицу'!AE9,2)</f>
        <v>0</v>
      </c>
    </row>
    <row r="10" spans="1:31" ht="10.5">
      <c r="A10" s="38" t="str">
        <f>'Форма по МДС 81-35.2004'!A116</f>
        <v>5.</v>
      </c>
      <c r="B10" s="38">
        <f>'Форма по МДС 81-35.2004'!H116</f>
        <v>3985.35</v>
      </c>
      <c r="C10" s="38">
        <f>ROUND(SUMIF('Форма по МДС 81-35.2004'!J116:J134,"Г",'Форма по МДС 81-35.2004'!H116:H134),2)</f>
        <v>3985.35</v>
      </c>
      <c r="D10" s="38">
        <f>ROUND(SUMIF('Форма по МДС 81-35.2004'!J116:J134,"IsMash",'Форма по МДС 81-35.2004'!H116:H134),2)</f>
        <v>0</v>
      </c>
      <c r="E10" s="38">
        <f>'Форма по МДС 81-35.2004'!H117</f>
        <v>0</v>
      </c>
      <c r="F10" s="38">
        <f>ROUND(SUMIF('Форма по МДС 81-35.2004'!J116:J134,"IsMater",'Форма по МДС 81-35.2004'!H116:H134),2)</f>
        <v>0</v>
      </c>
      <c r="G10" s="38">
        <f>ROUND('Форма по МДС 81-35.2004'!F116*'Текущие цены за единицу'!G10,2)</f>
        <v>0</v>
      </c>
      <c r="H10" s="38">
        <f>ROUND('Форма по МДС 81-35.2004'!F116*'Текущие цены за единицу'!H10,2)</f>
        <v>0</v>
      </c>
      <c r="I10" s="33">
        <f>ОКРУГЛВСЕ(SUMIF('Форма по МДС 81-35.2004'!J116:J134,"Г",'Форма по МДС 81-35.2004'!F116:F134),8)</f>
        <v>50.301</v>
      </c>
      <c r="J10" s="33">
        <f>ОКРУГЛВСЕ('Форма по МДС 81-35.2004'!F116*'Текущие цены за единицу'!J10,8)</f>
        <v>0</v>
      </c>
      <c r="K10" s="33">
        <f>ОКРУГЛВСЕ(SUMIF('Форма по МДС 81-35.2004'!J116:J134,"Ж",'Форма по МДС 81-35.2004'!F116:F134),8)</f>
        <v>0</v>
      </c>
      <c r="L10" s="38">
        <f>ROUND('Форма по МДС 81-35.2004'!F116*'Текущие цены за единицу'!L10,2)</f>
        <v>0</v>
      </c>
      <c r="M10" s="38">
        <f>ROUND('Форма по МДС 81-35.2004'!F116*'Текущие цены за единицу'!M10,2)</f>
        <v>0</v>
      </c>
      <c r="N10" s="38">
        <f>ROUND((C10+E10)*'Форма по МДС 81-35.2004'!G128/100,2)</f>
        <v>2869.45</v>
      </c>
      <c r="O10" s="38">
        <f>ROUND((C10+E10)*'Форма по МДС 81-35.2004'!G131/100,2)</f>
        <v>1524.4</v>
      </c>
      <c r="P10" s="38">
        <f>ROUND('Форма по МДС 81-35.2004'!F116*'Текущие цены за единицу'!P10,2)</f>
        <v>2869.45</v>
      </c>
      <c r="Q10" s="38">
        <f>ROUND('Форма по МДС 81-35.2004'!F116*'Текущие цены за единицу'!Q10,2)</f>
        <v>0</v>
      </c>
      <c r="R10" s="38">
        <f>ROUND('Форма по МДС 81-35.2004'!F116*'Текущие цены за единицу'!R10,2)</f>
        <v>1524.4</v>
      </c>
      <c r="S10" s="38">
        <f>ROUND('Форма по МДС 81-35.2004'!F116*'Текущие цены за единицу'!S10,2)</f>
        <v>0</v>
      </c>
      <c r="T10" s="38">
        <f>ROUND('Форма по МДС 81-35.2004'!F116*'Текущие цены за единицу'!T10,2)</f>
        <v>0</v>
      </c>
      <c r="U10" s="38">
        <f>ROUND('Форма по МДС 81-35.2004'!F116*'Текущие цены за единицу'!U10,2)</f>
        <v>0</v>
      </c>
      <c r="V10" s="38">
        <f>ROUND('Форма по МДС 81-35.2004'!F116*'Текущие цены за единицу'!V10,2)</f>
        <v>0</v>
      </c>
      <c r="X10" s="38">
        <f>ROUND('Форма по МДС 81-35.2004'!F116*'Текущие цены за единицу'!X10,2)</f>
        <v>0</v>
      </c>
      <c r="Y10" s="38">
        <f>IF(Определители!I10="9",ROUND((C10+E10)*(Начисления!M10/100)*('Форма по МДС 81-35.2004'!G128/100),2),0)</f>
        <v>0</v>
      </c>
      <c r="Z10" s="38">
        <f>IF(Определители!I10="9",ROUND((C10+E10)*(100-Начисления!M10/100)*('Форма по МДС 81-35.2004'!G128/100),2),0)</f>
        <v>0</v>
      </c>
      <c r="AA10" s="38">
        <f>IF(Определители!I10="9",ROUND((C10+E10)*(Начисления!M10/100)*('Форма по МДС 81-35.2004'!G131/100),2),0)</f>
        <v>0</v>
      </c>
      <c r="AB10" s="38">
        <f>IF(Определители!I10="9",ROUND((C10+E10)*(100-Начисления!M10/100)*('Форма по МДС 81-35.2004'!G131/100),2),0)</f>
        <v>0</v>
      </c>
      <c r="AC10" s="38">
        <f>IF(Определители!I10="9",ROUND(B10*Начисления!M10/100,2),0)</f>
        <v>0</v>
      </c>
      <c r="AD10" s="38">
        <f>IF(Определители!I10="9",ROUND(B10*(100-Начисления!M10)/100,2),0)</f>
        <v>0</v>
      </c>
      <c r="AE10" s="38">
        <f>ROUND('Форма по МДС 81-35.2004'!F116*'Текущие цены за единицу'!AE10,2)</f>
        <v>0</v>
      </c>
    </row>
    <row r="11" spans="1:31" ht="10.5">
      <c r="A11" s="38" t="str">
        <f>'Форма по МДС 81-35.2004'!A135</f>
        <v>6.</v>
      </c>
      <c r="B11" s="38">
        <f>'Форма по МДС 81-35.2004'!H135</f>
        <v>2491.31</v>
      </c>
      <c r="C11" s="38">
        <f>ROUND(SUMIF('Форма по МДС 81-35.2004'!J135:J167,"Г",'Форма по МДС 81-35.2004'!H135:H167),2)</f>
        <v>1506.11</v>
      </c>
      <c r="D11" s="38">
        <f>ROUND(SUMIF('Форма по МДС 81-35.2004'!J135:J167,"IsMash",'Форма по МДС 81-35.2004'!H135:H167),2)</f>
        <v>61.67</v>
      </c>
      <c r="E11" s="38">
        <f>'Форма по МДС 81-35.2004'!H136</f>
        <v>3.4</v>
      </c>
      <c r="F11" s="38">
        <f>ROUND(SUMIF('Форма по МДС 81-35.2004'!J135:J167,"IsMater",'Форма по МДС 81-35.2004'!H135:H167),2)</f>
        <v>923.53</v>
      </c>
      <c r="G11" s="38">
        <f>ROUND('Форма по МДС 81-35.2004'!F135*'Текущие цены за единицу'!G11,2)</f>
        <v>534.72</v>
      </c>
      <c r="H11" s="38">
        <f>ROUND('Форма по МДС 81-35.2004'!F135*'Текущие цены за единицу'!H11,2)</f>
        <v>0</v>
      </c>
      <c r="I11" s="33">
        <f>ОКРУГЛВСЕ(SUMIF('Форма по МДС 81-35.2004'!J135:J167,"Г",'Форма по МДС 81-35.2004'!F135:F167),8)</f>
        <v>14.789</v>
      </c>
      <c r="J11" s="33">
        <f>ОКРУГЛВСЕ('Форма по МДС 81-35.2004'!F135*'Текущие цены за единицу'!J11,8)</f>
        <v>0</v>
      </c>
      <c r="K11" s="33">
        <f>ОКРУГЛВСЕ(SUMIF('Форма по МДС 81-35.2004'!J135:J167,"Ж",'Форма по МДС 81-35.2004'!F135:F167),8)</f>
        <v>0.046</v>
      </c>
      <c r="L11" s="38">
        <f>ROUND('Форма по МДС 81-35.2004'!F135*'Текущие цены за единицу'!L11,2)</f>
        <v>0</v>
      </c>
      <c r="M11" s="38">
        <f>ROUND('Форма по МДС 81-35.2004'!F135*'Текущие цены за единицу'!M11,2)</f>
        <v>0</v>
      </c>
      <c r="N11" s="38">
        <f>ROUND((C11+E11)*'Форма по МДС 81-35.2004'!G161/100,2)</f>
        <v>1738.96</v>
      </c>
      <c r="O11" s="38">
        <f>ROUND((C11+E11)*'Форма по МДС 81-35.2004'!G164/100,2)</f>
        <v>1064.96</v>
      </c>
      <c r="P11" s="38">
        <f>ROUND('Форма по МДС 81-35.2004'!F135*'Текущие цены за единицу'!P11,2)</f>
        <v>1735.05</v>
      </c>
      <c r="Q11" s="38">
        <f>ROUND('Форма по МДС 81-35.2004'!F135*'Текущие цены за единицу'!Q11,2)</f>
        <v>3.92</v>
      </c>
      <c r="R11" s="38">
        <f>ROUND('Форма по МДС 81-35.2004'!F135*'Текущие цены за единицу'!R11,2)</f>
        <v>1062.57</v>
      </c>
      <c r="S11" s="38">
        <f>ROUND('Форма по МДС 81-35.2004'!F135*'Текущие цены за единицу'!S11,2)</f>
        <v>2.4</v>
      </c>
      <c r="T11" s="38">
        <f>ROUND('Форма по МДС 81-35.2004'!F135*'Текущие цены за единицу'!T11,2)</f>
        <v>0</v>
      </c>
      <c r="U11" s="38">
        <f>ROUND('Форма по МДС 81-35.2004'!F135*'Текущие цены за единицу'!U11,2)</f>
        <v>0</v>
      </c>
      <c r="V11" s="38">
        <f>ROUND('Форма по МДС 81-35.2004'!F135*'Текущие цены за единицу'!V11,2)</f>
        <v>0</v>
      </c>
      <c r="X11" s="38">
        <f>ROUND('Форма по МДС 81-35.2004'!F135*'Текущие цены за единицу'!X11,2)</f>
        <v>0</v>
      </c>
      <c r="Y11" s="38">
        <f>IF(Определители!I11="9",ROUND((C11+E11)*(Начисления!M11/100)*('Форма по МДС 81-35.2004'!G161/100),2),0)</f>
        <v>0</v>
      </c>
      <c r="Z11" s="38">
        <f>IF(Определители!I11="9",ROUND((C11+E11)*(100-Начисления!M11/100)*('Форма по МДС 81-35.2004'!G161/100),2),0)</f>
        <v>0</v>
      </c>
      <c r="AA11" s="38">
        <f>IF(Определители!I11="9",ROUND((C11+E11)*(Начисления!M11/100)*('Форма по МДС 81-35.2004'!G164/100),2),0)</f>
        <v>0</v>
      </c>
      <c r="AB11" s="38">
        <f>IF(Определители!I11="9",ROUND((C11+E11)*(100-Начисления!M11/100)*('Форма по МДС 81-35.2004'!G164/100),2),0)</f>
        <v>0</v>
      </c>
      <c r="AC11" s="38">
        <f>IF(Определители!I11="9",ROUND(B11*Начисления!M11/100,2),0)</f>
        <v>0</v>
      </c>
      <c r="AD11" s="38">
        <f>IF(Определители!I11="9",ROUND(B11*(100-Начисления!M11)/100,2),0)</f>
        <v>0</v>
      </c>
      <c r="AE11" s="38">
        <f>ROUND('Форма по МДС 81-35.2004'!F135*'Текущие цены за единицу'!AE11,2)</f>
        <v>0</v>
      </c>
    </row>
    <row r="12" spans="1:31" ht="10.5">
      <c r="A12" s="38" t="str">
        <f>'Форма по МДС 81-35.2004'!A168</f>
        <v>7.</v>
      </c>
      <c r="B12" s="38">
        <f>'Форма по МДС 81-35.2004'!H168</f>
        <v>21035.94</v>
      </c>
      <c r="C12" s="38">
        <f>ROUND(SUMIF('Форма по МДС 81-35.2004'!J168:J211,"Г",'Форма по МДС 81-35.2004'!H168:H211),2)</f>
        <v>3429.44</v>
      </c>
      <c r="D12" s="38">
        <f>ROUND(SUMIF('Форма по МДС 81-35.2004'!J168:J211,"IsMash",'Форма по МДС 81-35.2004'!H168:H211),2)</f>
        <v>2889.54</v>
      </c>
      <c r="E12" s="38">
        <f>'Форма по МДС 81-35.2004'!H169</f>
        <v>741.17</v>
      </c>
      <c r="F12" s="38">
        <f>ROUND(SUMIF('Форма по МДС 81-35.2004'!J168:J211,"IsMater",'Форма по МДС 81-35.2004'!H168:H211),2)</f>
        <v>14716.96</v>
      </c>
      <c r="G12" s="38">
        <f>ROUND('Форма по МДС 81-35.2004'!F168*'Текущие цены за единицу'!G12,2)</f>
        <v>21100.71</v>
      </c>
      <c r="H12" s="38">
        <f>ROUND('Форма по МДС 81-35.2004'!F168*'Текущие цены за единицу'!H12,2)</f>
        <v>0</v>
      </c>
      <c r="I12" s="33">
        <f>ОКРУГЛВСЕ(SUMIF('Форма по МДС 81-35.2004'!J168:J211,"Г",'Форма по МДС 81-35.2004'!F168:F211),8)</f>
        <v>34.845</v>
      </c>
      <c r="J12" s="33">
        <f>ОКРУГЛВСЕ('Форма по МДС 81-35.2004'!F168*'Текущие цены за единицу'!J12,8)</f>
        <v>0</v>
      </c>
      <c r="K12" s="33">
        <f>ОКРУГЛВСЕ(SUMIF('Форма по МДС 81-35.2004'!J168:J211,"Ж",'Форма по МДС 81-35.2004'!F168:F211),8)</f>
        <v>6.9253</v>
      </c>
      <c r="L12" s="38">
        <f>ROUND('Форма по МДС 81-35.2004'!F168*'Текущие цены за единицу'!L12,2)</f>
        <v>0</v>
      </c>
      <c r="M12" s="38">
        <f>ROUND('Форма по МДС 81-35.2004'!F168*'Текущие цены за единицу'!M12,2)</f>
        <v>0</v>
      </c>
      <c r="N12" s="38">
        <f>ROUND((C12+E12)*'Форма по МДС 81-35.2004'!G205/100,2)</f>
        <v>4879.61</v>
      </c>
      <c r="O12" s="38">
        <f>ROUND((C12+E12)*'Форма по МДС 81-35.2004'!G208/100,2)</f>
        <v>3155.07</v>
      </c>
      <c r="P12" s="38">
        <f>ROUND('Форма по МДС 81-35.2004'!F168*'Текущие цены за единицу'!P12,2)</f>
        <v>4012.45</v>
      </c>
      <c r="Q12" s="38">
        <f>ROUND('Форма по МДС 81-35.2004'!F168*'Текущие цены за единицу'!Q12,2)</f>
        <v>867.17</v>
      </c>
      <c r="R12" s="38">
        <f>ROUND('Форма по МДС 81-35.2004'!F168*'Текущие цены за единицу'!R12,2)</f>
        <v>2594.37</v>
      </c>
      <c r="S12" s="38">
        <f>ROUND('Форма по МДС 81-35.2004'!F168*'Текущие цены за единицу'!S12,2)</f>
        <v>560.7</v>
      </c>
      <c r="T12" s="38">
        <f>ROUND('Форма по МДС 81-35.2004'!F168*'Текущие цены за единицу'!T12,2)</f>
        <v>0</v>
      </c>
      <c r="U12" s="38">
        <f>ROUND('Форма по МДС 81-35.2004'!F168*'Текущие цены за единицу'!U12,2)</f>
        <v>0</v>
      </c>
      <c r="V12" s="38">
        <f>ROUND('Форма по МДС 81-35.2004'!F168*'Текущие цены за единицу'!V12,2)</f>
        <v>0</v>
      </c>
      <c r="X12" s="38">
        <f>ROUND('Форма по МДС 81-35.2004'!F168*'Текущие цены за единицу'!X12,2)</f>
        <v>0</v>
      </c>
      <c r="Y12" s="38">
        <f>IF(Определители!I12="9",ROUND((C12+E12)*(Начисления!M12/100)*('Форма по МДС 81-35.2004'!G205/100),2),0)</f>
        <v>0</v>
      </c>
      <c r="Z12" s="38">
        <f>IF(Определители!I12="9",ROUND((C12+E12)*(100-Начисления!M12/100)*('Форма по МДС 81-35.2004'!G205/100),2),0)</f>
        <v>0</v>
      </c>
      <c r="AA12" s="38">
        <f>IF(Определители!I12="9",ROUND((C12+E12)*(Начисления!M12/100)*('Форма по МДС 81-35.2004'!G208/100),2),0)</f>
        <v>0</v>
      </c>
      <c r="AB12" s="38">
        <f>IF(Определители!I12="9",ROUND((C12+E12)*(100-Начисления!M12/100)*('Форма по МДС 81-35.2004'!G208/100),2),0)</f>
        <v>0</v>
      </c>
      <c r="AC12" s="38">
        <f>IF(Определители!I12="9",ROUND(B12*Начисления!M12/100,2),0)</f>
        <v>0</v>
      </c>
      <c r="AD12" s="38">
        <f>IF(Определители!I12="9",ROUND(B12*(100-Начисления!M12)/100,2),0)</f>
        <v>0</v>
      </c>
      <c r="AE12" s="38">
        <f>ROUND('Форма по МДС 81-35.2004'!F168*'Текущие цены за единицу'!AE12,2)</f>
        <v>0</v>
      </c>
    </row>
    <row r="13" spans="1:31" ht="10.5">
      <c r="A13" s="38" t="str">
        <f>'Форма по МДС 81-35.2004'!A212</f>
        <v>8.</v>
      </c>
      <c r="B13" s="38">
        <f>'Форма по МДС 81-35.2004'!H212</f>
        <v>4703.9</v>
      </c>
      <c r="C13" s="38">
        <f>ROUND(SUMIF('Форма по МДС 81-35.2004'!J212:J231,"Г",'Форма по МДС 81-35.2004'!H212:H231),2)</f>
        <v>0</v>
      </c>
      <c r="D13" s="38">
        <f>ROUND(SUMIF('Форма по МДС 81-35.2004'!J212:J231,"IsMash",'Форма по МДС 81-35.2004'!H212:H231),2)</f>
        <v>4703.9</v>
      </c>
      <c r="E13" s="38">
        <f>'Форма по МДС 81-35.2004'!H213</f>
        <v>2148.67</v>
      </c>
      <c r="F13" s="38">
        <f>ROUND(SUMIF('Форма по МДС 81-35.2004'!J212:J231,"IsMater",'Форма по МДС 81-35.2004'!H212:H231),2)</f>
        <v>0</v>
      </c>
      <c r="G13" s="38">
        <f>ROUND('Форма по МДС 81-35.2004'!F212*'Текущие цены за единицу'!G13,2)</f>
        <v>0</v>
      </c>
      <c r="H13" s="38">
        <f>ROUND('Форма по МДС 81-35.2004'!F212*'Текущие цены за единицу'!H13,2)</f>
        <v>0</v>
      </c>
      <c r="I13" s="33">
        <f>ОКРУГЛВСЕ(SUMIF('Форма по МДС 81-35.2004'!J212:J231,"Г",'Форма по МДС 81-35.2004'!F212:F231),8)</f>
        <v>0</v>
      </c>
      <c r="J13" s="33">
        <f>ОКРУГЛВСЕ('Форма по МДС 81-35.2004'!F212*'Текущие цены за единицу'!J13,8)</f>
        <v>0</v>
      </c>
      <c r="K13" s="33">
        <f>ОКРУГЛВСЕ(SUMIF('Форма по МДС 81-35.2004'!J212:J231,"Ж",'Форма по МДС 81-35.2004'!F212:F231),8)</f>
        <v>14.535713</v>
      </c>
      <c r="L13" s="38">
        <f>ROUND('Форма по МДС 81-35.2004'!F212*'Текущие цены за единицу'!L13,2)</f>
        <v>0</v>
      </c>
      <c r="M13" s="38">
        <f>ROUND('Форма по МДС 81-35.2004'!F212*'Текущие цены за единицу'!M13,2)</f>
        <v>0</v>
      </c>
      <c r="N13" s="38">
        <f>ROUND((C13+E13)*'Форма по МДС 81-35.2004'!G225/100,2)</f>
        <v>1837.11</v>
      </c>
      <c r="O13" s="38">
        <f>ROUND((C13+E13)*'Форма по МДС 81-35.2004'!G228/100,2)</f>
        <v>913.18</v>
      </c>
      <c r="P13" s="38">
        <f>ROUND('Форма по МДС 81-35.2004'!F212*'Текущие цены за единицу'!P13,2)</f>
        <v>0</v>
      </c>
      <c r="Q13" s="38">
        <f>ROUND('Форма по МДС 81-35.2004'!F212*'Текущие цены за единицу'!Q13,2)</f>
        <v>1837.11</v>
      </c>
      <c r="R13" s="38">
        <f>ROUND('Форма по МДС 81-35.2004'!F212*'Текущие цены за единицу'!R13,2)</f>
        <v>0</v>
      </c>
      <c r="S13" s="38">
        <f>ROUND('Форма по МДС 81-35.2004'!F212*'Текущие цены за единицу'!S13,2)</f>
        <v>913.19</v>
      </c>
      <c r="T13" s="38">
        <f>ROUND('Форма по МДС 81-35.2004'!F212*'Текущие цены за единицу'!T13,2)</f>
        <v>0</v>
      </c>
      <c r="U13" s="38">
        <f>ROUND('Форма по МДС 81-35.2004'!F212*'Текущие цены за единицу'!U13,2)</f>
        <v>0</v>
      </c>
      <c r="V13" s="38">
        <f>ROUND('Форма по МДС 81-35.2004'!F212*'Текущие цены за единицу'!V13,2)</f>
        <v>0</v>
      </c>
      <c r="X13" s="38">
        <f>ROUND('Форма по МДС 81-35.2004'!F212*'Текущие цены за единицу'!X13,2)</f>
        <v>0</v>
      </c>
      <c r="Y13" s="38">
        <f>IF(Определители!I13="9",ROUND((C13+E13)*(Начисления!M13/100)*('Форма по МДС 81-35.2004'!G225/100),2),0)</f>
        <v>0</v>
      </c>
      <c r="Z13" s="38">
        <f>IF(Определители!I13="9",ROUND((C13+E13)*(100-Начисления!M13/100)*('Форма по МДС 81-35.2004'!G225/100),2),0)</f>
        <v>0</v>
      </c>
      <c r="AA13" s="38">
        <f>IF(Определители!I13="9",ROUND((C13+E13)*(Начисления!M13/100)*('Форма по МДС 81-35.2004'!G228/100),2),0)</f>
        <v>0</v>
      </c>
      <c r="AB13" s="38">
        <f>IF(Определители!I13="9",ROUND((C13+E13)*(100-Начисления!M13/100)*('Форма по МДС 81-35.2004'!G228/100),2),0)</f>
        <v>0</v>
      </c>
      <c r="AC13" s="38">
        <f>IF(Определители!I13="9",ROUND(B13*Начисления!M13/100,2),0)</f>
        <v>0</v>
      </c>
      <c r="AD13" s="38">
        <f>IF(Определители!I13="9",ROUND(B13*(100-Начисления!M13)/100,2),0)</f>
        <v>0</v>
      </c>
      <c r="AE13" s="38">
        <f>ROUND('Форма по МДС 81-35.2004'!F212*'Текущие цены за единицу'!AE13,2)</f>
        <v>0</v>
      </c>
    </row>
    <row r="14" spans="1:31" ht="10.5">
      <c r="A14" s="38" t="str">
        <f>'Форма по МДС 81-35.2004'!A232</f>
        <v>9.</v>
      </c>
      <c r="B14" s="38">
        <f>'Форма по МДС 81-35.2004'!H232</f>
        <v>3413.15</v>
      </c>
      <c r="C14" s="38">
        <f>ROUND(SUMIF('Форма по МДС 81-35.2004'!J232:J269,"Г",'Форма по МДС 81-35.2004'!H232:H269),2)</f>
        <v>2317.94</v>
      </c>
      <c r="D14" s="38">
        <f>ROUND(SUMIF('Форма по МДС 81-35.2004'!J232:J269,"IsMash",'Форма по МДС 81-35.2004'!H232:H269),2)</f>
        <v>1095.19</v>
      </c>
      <c r="E14" s="38">
        <f>'Форма по МДС 81-35.2004'!H234</f>
        <v>350.92</v>
      </c>
      <c r="F14" s="38">
        <f>ROUND(SUMIF('Форма по МДС 81-35.2004'!J232:J269,"IsMater",'Форма по МДС 81-35.2004'!H232:H269),2)</f>
        <v>0</v>
      </c>
      <c r="G14" s="38">
        <f>ROUND('Форма по МДС 81-35.2004'!F232*'Текущие цены за единицу'!G14,2)</f>
        <v>0</v>
      </c>
      <c r="H14" s="38">
        <f>ROUND('Форма по МДС 81-35.2004'!F232*'Текущие цены за единицу'!H14,2)</f>
        <v>0</v>
      </c>
      <c r="I14" s="33">
        <f>ОКРУГЛВСЕ(SUMIF('Форма по МДС 81-35.2004'!J232:J269,"Г",'Форма по МДС 81-35.2004'!F232:F269),8)</f>
        <v>21.18</v>
      </c>
      <c r="J14" s="33">
        <f>ОКРУГЛВСЕ('Форма по МДС 81-35.2004'!F232*'Текущие цены за единицу'!J14,8)</f>
        <v>0</v>
      </c>
      <c r="K14" s="33">
        <f>ОКРУГЛВСЕ(SUMIF('Форма по МДС 81-35.2004'!J232:J269,"Ж",'Форма по МДС 81-35.2004'!F232:F269),8)</f>
        <v>2.4882</v>
      </c>
      <c r="L14" s="38">
        <f>ROUND('Форма по МДС 81-35.2004'!F232*'Текущие цены за единицу'!L14,2)</f>
        <v>0</v>
      </c>
      <c r="M14" s="38">
        <f>ROUND('Форма по МДС 81-35.2004'!F232*'Текущие цены за единицу'!M14,2)</f>
        <v>0</v>
      </c>
      <c r="N14" s="38">
        <f>ROUND((C14+E14)*'Форма по МДС 81-35.2004'!G263/100,2)</f>
        <v>3122.57</v>
      </c>
      <c r="O14" s="38">
        <f>ROUND((C14+E14)*'Форма по МДС 81-35.2004'!G266/100,2)</f>
        <v>2018.99</v>
      </c>
      <c r="P14" s="38">
        <f>ROUND('Форма по МДС 81-35.2004'!F232*'Текущие цены за единицу'!P14,2)</f>
        <v>2711.99</v>
      </c>
      <c r="Q14" s="38">
        <f>ROUND('Форма по МДС 81-35.2004'!F232*'Текущие цены за единицу'!Q14,2)</f>
        <v>410.58</v>
      </c>
      <c r="R14" s="38">
        <f>ROUND('Форма по МДС 81-35.2004'!F232*'Текущие цены за единицу'!R14,2)</f>
        <v>1753.52</v>
      </c>
      <c r="S14" s="38">
        <f>ROUND('Форма по МДС 81-35.2004'!F232*'Текущие цены за единицу'!S14,2)</f>
        <v>265.47</v>
      </c>
      <c r="T14" s="38">
        <f>ROUND('Форма по МДС 81-35.2004'!F232*'Текущие цены за единицу'!T14,2)</f>
        <v>0</v>
      </c>
      <c r="U14" s="38">
        <f>ROUND('Форма по МДС 81-35.2004'!F232*'Текущие цены за единицу'!U14,2)</f>
        <v>0</v>
      </c>
      <c r="V14" s="38">
        <f>ROUND('Форма по МДС 81-35.2004'!F232*'Текущие цены за единицу'!V14,2)</f>
        <v>0</v>
      </c>
      <c r="X14" s="38">
        <f>ROUND('Форма по МДС 81-35.2004'!F232*'Текущие цены за единицу'!X14,2)</f>
        <v>0</v>
      </c>
      <c r="Y14" s="38">
        <f>IF(Определители!I14="9",ROUND((C14+E14)*(Начисления!M14/100)*('Форма по МДС 81-35.2004'!G263/100),2),0)</f>
        <v>0</v>
      </c>
      <c r="Z14" s="38">
        <f>IF(Определители!I14="9",ROUND((C14+E14)*(100-Начисления!M14/100)*('Форма по МДС 81-35.2004'!G263/100),2),0)</f>
        <v>0</v>
      </c>
      <c r="AA14" s="38">
        <f>IF(Определители!I14="9",ROUND((C14+E14)*(Начисления!M14/100)*('Форма по МДС 81-35.2004'!G266/100),2),0)</f>
        <v>0</v>
      </c>
      <c r="AB14" s="38">
        <f>IF(Определители!I14="9",ROUND((C14+E14)*(100-Начисления!M14/100)*('Форма по МДС 81-35.2004'!G266/100),2),0)</f>
        <v>0</v>
      </c>
      <c r="AC14" s="38">
        <f>IF(Определители!I14="9",ROUND(B14*Начисления!M14/100,2),0)</f>
        <v>0</v>
      </c>
      <c r="AD14" s="38">
        <f>IF(Определители!I14="9",ROUND(B14*(100-Начисления!M14)/100,2),0)</f>
        <v>0</v>
      </c>
      <c r="AE14" s="38">
        <f>ROUND('Форма по МДС 81-35.2004'!F232*'Текущие цены за единицу'!AE14,2)</f>
        <v>0</v>
      </c>
    </row>
    <row r="15" spans="1:31" ht="10.5">
      <c r="A15" s="38" t="str">
        <f>'Форма по МДС 81-35.2004'!A270</f>
        <v>10.</v>
      </c>
      <c r="B15" s="38">
        <f>'Форма по МДС 81-35.2004'!H270</f>
        <v>22118.49</v>
      </c>
      <c r="C15" s="38">
        <f>ROUND(SUMIF('Форма по МДС 81-35.2004'!J270:J303,"Г",'Форма по МДС 81-35.2004'!H270:H303),2)</f>
        <v>4498.38</v>
      </c>
      <c r="D15" s="38">
        <f>ROUND(SUMIF('Форма по МДС 81-35.2004'!J270:J303,"IsMash",'Форма по МДС 81-35.2004'!H270:H303),2)</f>
        <v>15653.37</v>
      </c>
      <c r="E15" s="38">
        <f>'Форма по МДС 81-35.2004'!H271</f>
        <v>3239.66</v>
      </c>
      <c r="F15" s="38">
        <f>ROUND(SUMIF('Форма по МДС 81-35.2004'!J270:J303,"IsMater",'Форма по МДС 81-35.2004'!H270:H303),2)</f>
        <v>1966.74</v>
      </c>
      <c r="G15" s="38">
        <f>ROUND('Форма по МДС 81-35.2004'!F270*'Текущие цены за единицу'!G15,2)</f>
        <v>28.62</v>
      </c>
      <c r="H15" s="38">
        <f>ROUND('Форма по МДС 81-35.2004'!F270*'Текущие цены за единицу'!H15,2)</f>
        <v>0</v>
      </c>
      <c r="I15" s="33">
        <f>ОКРУГЛВСЕ(SUMIF('Форма по МДС 81-35.2004'!J270:J303,"Г",'Форма по МДС 81-35.2004'!F270:F303),8)</f>
        <v>43.52152</v>
      </c>
      <c r="J15" s="33">
        <f>ОКРУГЛВСЕ('Форма по МДС 81-35.2004'!F270*'Текущие цены за единицу'!J15,8)</f>
        <v>0</v>
      </c>
      <c r="K15" s="33">
        <f>ОКРУГЛВСЕ(SUMIF('Форма по МДС 81-35.2004'!J270:J303,"Ж",'Форма по МДС 81-35.2004'!F270:F303),8)</f>
        <v>43.43136</v>
      </c>
      <c r="L15" s="38">
        <f>ROUND('Форма по МДС 81-35.2004'!F270*'Текущие цены за единицу'!L15,2)</f>
        <v>0</v>
      </c>
      <c r="M15" s="38">
        <f>ROUND('Форма по МДС 81-35.2004'!F270*'Текущие цены за единицу'!M15,2)</f>
        <v>0</v>
      </c>
      <c r="N15" s="38">
        <f>ROUND((C15+E15)*'Форма по МДС 81-35.2004'!G297/100,2)</f>
        <v>9053.51</v>
      </c>
      <c r="O15" s="38">
        <f>ROUND((C15+E15)*'Форма по МДС 81-35.2004'!G300/100,2)</f>
        <v>5853.83</v>
      </c>
      <c r="P15" s="38">
        <f>ROUND('Форма по МДС 81-35.2004'!F270*'Текущие цены за единицу'!P15,2)</f>
        <v>5263.11</v>
      </c>
      <c r="Q15" s="38">
        <f>ROUND('Форма по МДС 81-35.2004'!F270*'Текущие цены за единицу'!Q15,2)</f>
        <v>3790.4</v>
      </c>
      <c r="R15" s="38">
        <f>ROUND('Форма по МДС 81-35.2004'!F270*'Текущие цены за единицу'!R15,2)</f>
        <v>3403.03</v>
      </c>
      <c r="S15" s="38">
        <f>ROUND('Форма по МДС 81-35.2004'!F270*'Текущие цены за единицу'!S15,2)</f>
        <v>2450.8</v>
      </c>
      <c r="T15" s="38">
        <f>ROUND('Форма по МДС 81-35.2004'!F270*'Текущие цены за единицу'!T15,2)</f>
        <v>0</v>
      </c>
      <c r="U15" s="38">
        <f>ROUND('Форма по МДС 81-35.2004'!F270*'Текущие цены за единицу'!U15,2)</f>
        <v>0</v>
      </c>
      <c r="V15" s="38">
        <f>ROUND('Форма по МДС 81-35.2004'!F270*'Текущие цены за единицу'!V15,2)</f>
        <v>0</v>
      </c>
      <c r="X15" s="38">
        <f>ROUND('Форма по МДС 81-35.2004'!F270*'Текущие цены за единицу'!X15,2)</f>
        <v>0</v>
      </c>
      <c r="Y15" s="38">
        <f>IF(Определители!I15="9",ROUND((C15+E15)*(Начисления!M15/100)*('Форма по МДС 81-35.2004'!G297/100),2),0)</f>
        <v>0</v>
      </c>
      <c r="Z15" s="38">
        <f>IF(Определители!I15="9",ROUND((C15+E15)*(100-Начисления!M15/100)*('Форма по МДС 81-35.2004'!G297/100),2),0)</f>
        <v>0</v>
      </c>
      <c r="AA15" s="38">
        <f>IF(Определители!I15="9",ROUND((C15+E15)*(Начисления!M15/100)*('Форма по МДС 81-35.2004'!G300/100),2),0)</f>
        <v>0</v>
      </c>
      <c r="AB15" s="38">
        <f>IF(Определители!I15="9",ROUND((C15+E15)*(100-Начисления!M15/100)*('Форма по МДС 81-35.2004'!G300/100),2),0)</f>
        <v>0</v>
      </c>
      <c r="AC15" s="38">
        <f>IF(Определители!I15="9",ROUND(B15*Начисления!M15/100,2),0)</f>
        <v>0</v>
      </c>
      <c r="AD15" s="38">
        <f>IF(Определители!I15="9",ROUND(B15*(100-Начисления!M15)/100,2),0)</f>
        <v>0</v>
      </c>
      <c r="AE15" s="38">
        <f>ROUND('Форма по МДС 81-35.2004'!F270*'Текущие цены за единицу'!AE15,2)</f>
        <v>0</v>
      </c>
    </row>
    <row r="16" spans="1:31" ht="10.5">
      <c r="A16" s="38" t="str">
        <f>'Форма по МДС 81-35.2004'!A304</f>
        <v>11.</v>
      </c>
      <c r="B16" s="38">
        <f>'Форма по МДС 81-35.2004'!H304</f>
        <v>6879.6</v>
      </c>
      <c r="C16" s="38">
        <f>ROUND(SUMIF('Форма по МДС 81-35.2004'!J304:J321,"Г",'Форма по МДС 81-35.2004'!H304:H321),2)</f>
        <v>0</v>
      </c>
      <c r="D16" s="38">
        <f>ROUND(SUMIF('Форма по МДС 81-35.2004'!J304:J321,"IsMash",'Форма по МДС 81-35.2004'!H304:H321),2)</f>
        <v>0</v>
      </c>
      <c r="E16" s="38">
        <f>'Форма по МДС 81-35.2004'!H305</f>
        <v>0</v>
      </c>
      <c r="F16" s="38">
        <f>ROUND(SUMIF('Форма по МДС 81-35.2004'!J304:J321,"IsMater",'Форма по МДС 81-35.2004'!H304:H321),2)</f>
        <v>6879.6</v>
      </c>
      <c r="G16" s="38">
        <f>ROUND('Форма по МДС 81-35.2004'!F304*'Текущие цены за единицу'!G16,2)</f>
        <v>0</v>
      </c>
      <c r="H16" s="38">
        <f>ROUND('Форма по МДС 81-35.2004'!F304*'Текущие цены за единицу'!H16,2)</f>
        <v>0</v>
      </c>
      <c r="I16" s="33">
        <f>ОКРУГЛВСЕ(SUMIF('Форма по МДС 81-35.2004'!J304:J321,"Г",'Форма по МДС 81-35.2004'!F304:F321),8)</f>
        <v>0</v>
      </c>
      <c r="J16" s="33">
        <f>ОКРУГЛВСЕ('Форма по МДС 81-35.2004'!F304*'Текущие цены за единицу'!J16,8)</f>
        <v>0</v>
      </c>
      <c r="K16" s="33">
        <f>ОКРУГЛВСЕ(SUMIF('Форма по МДС 81-35.2004'!J304:J321,"Ж",'Форма по МДС 81-35.2004'!F304:F321),8)</f>
        <v>0</v>
      </c>
      <c r="L16" s="38">
        <f>ROUND('Форма по МДС 81-35.2004'!F304*'Текущие цены за единицу'!L16,2)</f>
        <v>0</v>
      </c>
      <c r="M16" s="38">
        <f>ROUND('Форма по МДС 81-35.2004'!F304*'Текущие цены за единицу'!M16,2)</f>
        <v>0</v>
      </c>
      <c r="N16" s="38">
        <f>ROUND((C16+E16)*'Форма по МДС 81-35.2004'!G316/100,2)</f>
        <v>0</v>
      </c>
      <c r="O16" s="38">
        <f>ROUND((C16+E16)*'Форма по МДС 81-35.2004'!G319/100,2)</f>
        <v>0</v>
      </c>
      <c r="P16" s="38">
        <f>ROUND('Форма по МДС 81-35.2004'!F304*'Текущие цены за единицу'!P16,2)</f>
        <v>0</v>
      </c>
      <c r="Q16" s="38">
        <f>ROUND('Форма по МДС 81-35.2004'!F304*'Текущие цены за единицу'!Q16,2)</f>
        <v>0</v>
      </c>
      <c r="R16" s="38">
        <f>ROUND('Форма по МДС 81-35.2004'!F304*'Текущие цены за единицу'!R16,2)</f>
        <v>0</v>
      </c>
      <c r="S16" s="38">
        <f>ROUND('Форма по МДС 81-35.2004'!F304*'Текущие цены за единицу'!S16,2)</f>
        <v>0</v>
      </c>
      <c r="T16" s="38">
        <f>ROUND('Форма по МДС 81-35.2004'!F304*'Текущие цены за единицу'!T16,2)</f>
        <v>0</v>
      </c>
      <c r="U16" s="38">
        <f>ROUND('Форма по МДС 81-35.2004'!F304*'Текущие цены за единицу'!U16,2)</f>
        <v>0</v>
      </c>
      <c r="V16" s="38">
        <f>ROUND('Форма по МДС 81-35.2004'!F304*'Текущие цены за единицу'!V16,2)</f>
        <v>0</v>
      </c>
      <c r="X16" s="38">
        <f>ROUND('Форма по МДС 81-35.2004'!F304*'Текущие цены за единицу'!X16,2)</f>
        <v>0</v>
      </c>
      <c r="Y16" s="38">
        <f>IF(Определители!I16="9",ROUND((C16+E16)*(Начисления!M16/100)*('Форма по МДС 81-35.2004'!G316/100),2),0)</f>
        <v>0</v>
      </c>
      <c r="Z16" s="38">
        <f>IF(Определители!I16="9",ROUND((C16+E16)*(100-Начисления!M16/100)*('Форма по МДС 81-35.2004'!G316/100),2),0)</f>
        <v>0</v>
      </c>
      <c r="AA16" s="38">
        <f>IF(Определители!I16="9",ROUND((C16+E16)*(Начисления!M16/100)*('Форма по МДС 81-35.2004'!G319/100),2),0)</f>
        <v>0</v>
      </c>
      <c r="AB16" s="38">
        <f>IF(Определители!I16="9",ROUND((C16+E16)*(100-Начисления!M16/100)*('Форма по МДС 81-35.2004'!G319/100),2),0)</f>
        <v>0</v>
      </c>
      <c r="AC16" s="38">
        <f>IF(Определители!I16="9",ROUND(B16*Начисления!M16/100,2),0)</f>
        <v>0</v>
      </c>
      <c r="AD16" s="38">
        <f>IF(Определители!I16="9",ROUND(B16*(100-Начисления!M16)/100,2),0)</f>
        <v>0</v>
      </c>
      <c r="AE16" s="38">
        <f>ROUND('Форма по МДС 81-35.2004'!F304*'Текущие цены за единицу'!AE16,2)</f>
        <v>0</v>
      </c>
    </row>
    <row r="17" spans="1:31" ht="10.5">
      <c r="A17" s="38" t="str">
        <f>'Форма по МДС 81-35.2004'!A322</f>
        <v>12.</v>
      </c>
      <c r="B17" s="38">
        <f>'Форма по МДС 81-35.2004'!H322</f>
        <v>21450</v>
      </c>
      <c r="C17" s="38">
        <f>ROUND(SUMIF('Форма по МДС 81-35.2004'!J322:J339,"Г",'Форма по МДС 81-35.2004'!H322:H339),2)</f>
        <v>0</v>
      </c>
      <c r="D17" s="38">
        <f>ROUND(SUMIF('Форма по МДС 81-35.2004'!J322:J339,"IsMash",'Форма по МДС 81-35.2004'!H322:H339),2)</f>
        <v>0</v>
      </c>
      <c r="E17" s="38">
        <f>'Форма по МДС 81-35.2004'!H323</f>
        <v>0</v>
      </c>
      <c r="F17" s="38">
        <f>ROUND(SUMIF('Форма по МДС 81-35.2004'!J322:J339,"IsMater",'Форма по МДС 81-35.2004'!H322:H339),2)</f>
        <v>21450</v>
      </c>
      <c r="G17" s="38">
        <f>ROUND('Форма по МДС 81-35.2004'!F322*'Текущие цены за единицу'!G17,2)</f>
        <v>0</v>
      </c>
      <c r="H17" s="38">
        <f>ROUND('Форма по МДС 81-35.2004'!F322*'Текущие цены за единицу'!H17,2)</f>
        <v>0</v>
      </c>
      <c r="I17" s="33">
        <f>ОКРУГЛВСЕ(SUMIF('Форма по МДС 81-35.2004'!J322:J339,"Г",'Форма по МДС 81-35.2004'!F322:F339),8)</f>
        <v>0</v>
      </c>
      <c r="J17" s="33">
        <f>ОКРУГЛВСЕ('Форма по МДС 81-35.2004'!F322*'Текущие цены за единицу'!J17,8)</f>
        <v>0</v>
      </c>
      <c r="K17" s="33">
        <f>ОКРУГЛВСЕ(SUMIF('Форма по МДС 81-35.2004'!J322:J339,"Ж",'Форма по МДС 81-35.2004'!F322:F339),8)</f>
        <v>0</v>
      </c>
      <c r="L17" s="38">
        <f>ROUND('Форма по МДС 81-35.2004'!F322*'Текущие цены за единицу'!L17,2)</f>
        <v>0</v>
      </c>
      <c r="M17" s="38">
        <f>ROUND('Форма по МДС 81-35.2004'!F322*'Текущие цены за единицу'!M17,2)</f>
        <v>0</v>
      </c>
      <c r="N17" s="38">
        <f>ROUND((C17+E17)*'Форма по МДС 81-35.2004'!G334/100,2)</f>
        <v>0</v>
      </c>
      <c r="O17" s="38">
        <f>ROUND((C17+E17)*'Форма по МДС 81-35.2004'!G337/100,2)</f>
        <v>0</v>
      </c>
      <c r="P17" s="38">
        <f>ROUND('Форма по МДС 81-35.2004'!F322*'Текущие цены за единицу'!P17,2)</f>
        <v>0</v>
      </c>
      <c r="Q17" s="38">
        <f>ROUND('Форма по МДС 81-35.2004'!F322*'Текущие цены за единицу'!Q17,2)</f>
        <v>0</v>
      </c>
      <c r="R17" s="38">
        <f>ROUND('Форма по МДС 81-35.2004'!F322*'Текущие цены за единицу'!R17,2)</f>
        <v>0</v>
      </c>
      <c r="S17" s="38">
        <f>ROUND('Форма по МДС 81-35.2004'!F322*'Текущие цены за единицу'!S17,2)</f>
        <v>0</v>
      </c>
      <c r="T17" s="38">
        <f>ROUND('Форма по МДС 81-35.2004'!F322*'Текущие цены за единицу'!T17,2)</f>
        <v>0</v>
      </c>
      <c r="U17" s="38">
        <f>ROUND('Форма по МДС 81-35.2004'!F322*'Текущие цены за единицу'!U17,2)</f>
        <v>0</v>
      </c>
      <c r="V17" s="38">
        <f>ROUND('Форма по МДС 81-35.2004'!F322*'Текущие цены за единицу'!V17,2)</f>
        <v>0</v>
      </c>
      <c r="X17" s="38">
        <f>ROUND('Форма по МДС 81-35.2004'!F322*'Текущие цены за единицу'!X17,2)</f>
        <v>0</v>
      </c>
      <c r="Y17" s="38">
        <f>IF(Определители!I17="9",ROUND((C17+E17)*(Начисления!M17/100)*('Форма по МДС 81-35.2004'!G334/100),2),0)</f>
        <v>0</v>
      </c>
      <c r="Z17" s="38">
        <f>IF(Определители!I17="9",ROUND((C17+E17)*(100-Начисления!M17/100)*('Форма по МДС 81-35.2004'!G334/100),2),0)</f>
        <v>0</v>
      </c>
      <c r="AA17" s="38">
        <f>IF(Определители!I17="9",ROUND((C17+E17)*(Начисления!M17/100)*('Форма по МДС 81-35.2004'!G337/100),2),0)</f>
        <v>0</v>
      </c>
      <c r="AB17" s="38">
        <f>IF(Определители!I17="9",ROUND((C17+E17)*(100-Начисления!M17/100)*('Форма по МДС 81-35.2004'!G337/100),2),0)</f>
        <v>0</v>
      </c>
      <c r="AC17" s="38">
        <f>IF(Определители!I17="9",ROUND(B17*Начисления!M17/100,2),0)</f>
        <v>0</v>
      </c>
      <c r="AD17" s="38">
        <f>IF(Определители!I17="9",ROUND(B17*(100-Начисления!M17)/100,2),0)</f>
        <v>0</v>
      </c>
      <c r="AE17" s="38">
        <f>ROUND('Форма по МДС 81-35.2004'!F322*'Текущие цены за единицу'!AE17,2)</f>
        <v>0</v>
      </c>
    </row>
    <row r="18" spans="1:31" ht="10.5">
      <c r="A18" s="38" t="str">
        <f>'Форма по МДС 81-35.2004'!A340</f>
        <v>13.</v>
      </c>
      <c r="B18" s="38">
        <f>'Форма по МДС 81-35.2004'!H340</f>
        <v>7082</v>
      </c>
      <c r="C18" s="38">
        <f>ROUND(SUMIF('Форма по МДС 81-35.2004'!J340:J357,"Г",'Форма по МДС 81-35.2004'!H340:H357),2)</f>
        <v>0</v>
      </c>
      <c r="D18" s="38">
        <f>ROUND(SUMIF('Форма по МДС 81-35.2004'!J340:J357,"IsMash",'Форма по МДС 81-35.2004'!H340:H357),2)</f>
        <v>0</v>
      </c>
      <c r="E18" s="38">
        <f>'Форма по МДС 81-35.2004'!H341</f>
        <v>0</v>
      </c>
      <c r="F18" s="38">
        <f>ROUND(SUMIF('Форма по МДС 81-35.2004'!J340:J357,"IsMater",'Форма по МДС 81-35.2004'!H340:H357),2)</f>
        <v>7082</v>
      </c>
      <c r="G18" s="38">
        <f>ROUND('Форма по МДС 81-35.2004'!F340*'Текущие цены за единицу'!G18,2)</f>
        <v>0</v>
      </c>
      <c r="H18" s="38">
        <f>ROUND('Форма по МДС 81-35.2004'!F340*'Текущие цены за единицу'!H18,2)</f>
        <v>0</v>
      </c>
      <c r="I18" s="33">
        <f>ОКРУГЛВСЕ(SUMIF('Форма по МДС 81-35.2004'!J340:J357,"Г",'Форма по МДС 81-35.2004'!F340:F357),8)</f>
        <v>0</v>
      </c>
      <c r="J18" s="33">
        <f>ОКРУГЛВСЕ('Форма по МДС 81-35.2004'!F340*'Текущие цены за единицу'!J18,8)</f>
        <v>0</v>
      </c>
      <c r="K18" s="33">
        <f>ОКРУГЛВСЕ(SUMIF('Форма по МДС 81-35.2004'!J340:J357,"Ж",'Форма по МДС 81-35.2004'!F340:F357),8)</f>
        <v>0</v>
      </c>
      <c r="L18" s="38">
        <f>ROUND('Форма по МДС 81-35.2004'!F340*'Текущие цены за единицу'!L18,2)</f>
        <v>0</v>
      </c>
      <c r="M18" s="38">
        <f>ROUND('Форма по МДС 81-35.2004'!F340*'Текущие цены за единицу'!M18,2)</f>
        <v>0</v>
      </c>
      <c r="N18" s="38">
        <f>ROUND((C18+E18)*'Форма по МДС 81-35.2004'!G352/100,2)</f>
        <v>0</v>
      </c>
      <c r="O18" s="38">
        <f>ROUND((C18+E18)*'Форма по МДС 81-35.2004'!G355/100,2)</f>
        <v>0</v>
      </c>
      <c r="P18" s="38">
        <f>ROUND('Форма по МДС 81-35.2004'!F340*'Текущие цены за единицу'!P18,2)</f>
        <v>0</v>
      </c>
      <c r="Q18" s="38">
        <f>ROUND('Форма по МДС 81-35.2004'!F340*'Текущие цены за единицу'!Q18,2)</f>
        <v>0</v>
      </c>
      <c r="R18" s="38">
        <f>ROUND('Форма по МДС 81-35.2004'!F340*'Текущие цены за единицу'!R18,2)</f>
        <v>0</v>
      </c>
      <c r="S18" s="38">
        <f>ROUND('Форма по МДС 81-35.2004'!F340*'Текущие цены за единицу'!S18,2)</f>
        <v>0</v>
      </c>
      <c r="T18" s="38">
        <f>ROUND('Форма по МДС 81-35.2004'!F340*'Текущие цены за единицу'!T18,2)</f>
        <v>0</v>
      </c>
      <c r="U18" s="38">
        <f>ROUND('Форма по МДС 81-35.2004'!F340*'Текущие цены за единицу'!U18,2)</f>
        <v>0</v>
      </c>
      <c r="V18" s="38">
        <f>ROUND('Форма по МДС 81-35.2004'!F340*'Текущие цены за единицу'!V18,2)</f>
        <v>0</v>
      </c>
      <c r="X18" s="38">
        <f>ROUND('Форма по МДС 81-35.2004'!F340*'Текущие цены за единицу'!X18,2)</f>
        <v>0</v>
      </c>
      <c r="Y18" s="38">
        <f>IF(Определители!I18="9",ROUND((C18+E18)*(Начисления!M18/100)*('Форма по МДС 81-35.2004'!G352/100),2),0)</f>
        <v>0</v>
      </c>
      <c r="Z18" s="38">
        <f>IF(Определители!I18="9",ROUND((C18+E18)*(100-Начисления!M18/100)*('Форма по МДС 81-35.2004'!G352/100),2),0)</f>
        <v>0</v>
      </c>
      <c r="AA18" s="38">
        <f>IF(Определители!I18="9",ROUND((C18+E18)*(Начисления!M18/100)*('Форма по МДС 81-35.2004'!G355/100),2),0)</f>
        <v>0</v>
      </c>
      <c r="AB18" s="38">
        <f>IF(Определители!I18="9",ROUND((C18+E18)*(100-Начисления!M18/100)*('Форма по МДС 81-35.2004'!G355/100),2),0)</f>
        <v>0</v>
      </c>
      <c r="AC18" s="38">
        <f>IF(Определители!I18="9",ROUND(B18*Начисления!M18/100,2),0)</f>
        <v>0</v>
      </c>
      <c r="AD18" s="38">
        <f>IF(Определители!I18="9",ROUND(B18*(100-Начисления!M18)/100,2),0)</f>
        <v>0</v>
      </c>
      <c r="AE18" s="38">
        <f>ROUND('Форма по МДС 81-35.2004'!F340*'Текущие цены за единицу'!AE18,2)</f>
        <v>0</v>
      </c>
    </row>
    <row r="19" spans="1:31" ht="10.5">
      <c r="A19" s="38" t="str">
        <f>'Форма по МДС 81-35.2004'!A358</f>
        <v>14.</v>
      </c>
      <c r="B19" s="38">
        <f>'Форма по МДС 81-35.2004'!H358</f>
        <v>540</v>
      </c>
      <c r="C19" s="38">
        <f>ROUND(SUMIF('Форма по МДС 81-35.2004'!J358:J375,"Г",'Форма по МДС 81-35.2004'!H358:H375),2)</f>
        <v>0</v>
      </c>
      <c r="D19" s="38">
        <f>ROUND(SUMIF('Форма по МДС 81-35.2004'!J358:J375,"IsMash",'Форма по МДС 81-35.2004'!H358:H375),2)</f>
        <v>0</v>
      </c>
      <c r="E19" s="38">
        <f>'Форма по МДС 81-35.2004'!H359</f>
        <v>0</v>
      </c>
      <c r="F19" s="38">
        <f>ROUND(SUMIF('Форма по МДС 81-35.2004'!J358:J375,"IsMater",'Форма по МДС 81-35.2004'!H358:H375),2)</f>
        <v>540</v>
      </c>
      <c r="G19" s="38">
        <f>ROUND('Форма по МДС 81-35.2004'!F358*'Текущие цены за единицу'!G19,2)</f>
        <v>0</v>
      </c>
      <c r="H19" s="38">
        <f>ROUND('Форма по МДС 81-35.2004'!F358*'Текущие цены за единицу'!H19,2)</f>
        <v>0</v>
      </c>
      <c r="I19" s="33">
        <f>ОКРУГЛВСЕ(SUMIF('Форма по МДС 81-35.2004'!J358:J375,"Г",'Форма по МДС 81-35.2004'!F358:F375),8)</f>
        <v>0</v>
      </c>
      <c r="J19" s="33">
        <f>ОКРУГЛВСЕ('Форма по МДС 81-35.2004'!F358*'Текущие цены за единицу'!J19,8)</f>
        <v>0</v>
      </c>
      <c r="K19" s="33">
        <f>ОКРУГЛВСЕ(SUMIF('Форма по МДС 81-35.2004'!J358:J375,"Ж",'Форма по МДС 81-35.2004'!F358:F375),8)</f>
        <v>0</v>
      </c>
      <c r="L19" s="38">
        <f>ROUND('Форма по МДС 81-35.2004'!F358*'Текущие цены за единицу'!L19,2)</f>
        <v>0</v>
      </c>
      <c r="M19" s="38">
        <f>ROUND('Форма по МДС 81-35.2004'!F358*'Текущие цены за единицу'!M19,2)</f>
        <v>0</v>
      </c>
      <c r="N19" s="38">
        <f>ROUND((C19+E19)*'Форма по МДС 81-35.2004'!G370/100,2)</f>
        <v>0</v>
      </c>
      <c r="O19" s="38">
        <f>ROUND((C19+E19)*'Форма по МДС 81-35.2004'!G373/100,2)</f>
        <v>0</v>
      </c>
      <c r="P19" s="38">
        <f>ROUND('Форма по МДС 81-35.2004'!F358*'Текущие цены за единицу'!P19,2)</f>
        <v>0</v>
      </c>
      <c r="Q19" s="38">
        <f>ROUND('Форма по МДС 81-35.2004'!F358*'Текущие цены за единицу'!Q19,2)</f>
        <v>0</v>
      </c>
      <c r="R19" s="38">
        <f>ROUND('Форма по МДС 81-35.2004'!F358*'Текущие цены за единицу'!R19,2)</f>
        <v>0</v>
      </c>
      <c r="S19" s="38">
        <f>ROUND('Форма по МДС 81-35.2004'!F358*'Текущие цены за единицу'!S19,2)</f>
        <v>0</v>
      </c>
      <c r="T19" s="38">
        <f>ROUND('Форма по МДС 81-35.2004'!F358*'Текущие цены за единицу'!T19,2)</f>
        <v>0</v>
      </c>
      <c r="U19" s="38">
        <f>ROUND('Форма по МДС 81-35.2004'!F358*'Текущие цены за единицу'!U19,2)</f>
        <v>0</v>
      </c>
      <c r="V19" s="38">
        <f>ROUND('Форма по МДС 81-35.2004'!F358*'Текущие цены за единицу'!V19,2)</f>
        <v>0</v>
      </c>
      <c r="X19" s="38">
        <f>ROUND('Форма по МДС 81-35.2004'!F358*'Текущие цены за единицу'!X19,2)</f>
        <v>0</v>
      </c>
      <c r="Y19" s="38">
        <f>IF(Определители!I19="9",ROUND((C19+E19)*(Начисления!M19/100)*('Форма по МДС 81-35.2004'!G370/100),2),0)</f>
        <v>0</v>
      </c>
      <c r="Z19" s="38">
        <f>IF(Определители!I19="9",ROUND((C19+E19)*(100-Начисления!M19/100)*('Форма по МДС 81-35.2004'!G370/100),2),0)</f>
        <v>0</v>
      </c>
      <c r="AA19" s="38">
        <f>IF(Определители!I19="9",ROUND((C19+E19)*(Начисления!M19/100)*('Форма по МДС 81-35.2004'!G373/100),2),0)</f>
        <v>0</v>
      </c>
      <c r="AB19" s="38">
        <f>IF(Определители!I19="9",ROUND((C19+E19)*(100-Начисления!M19/100)*('Форма по МДС 81-35.2004'!G373/100),2),0)</f>
        <v>0</v>
      </c>
      <c r="AC19" s="38">
        <f>IF(Определители!I19="9",ROUND(B19*Начисления!M19/100,2),0)</f>
        <v>0</v>
      </c>
      <c r="AD19" s="38">
        <f>IF(Определители!I19="9",ROUND(B19*(100-Начисления!M19)/100,2),0)</f>
        <v>0</v>
      </c>
      <c r="AE19" s="38">
        <f>ROUND('Форма по МДС 81-35.2004'!F358*'Текущие цены за единицу'!AE19,2)</f>
        <v>0</v>
      </c>
    </row>
    <row r="20" spans="1:31" ht="10.5">
      <c r="A20" s="38" t="str">
        <f>'Форма по МДС 81-35.2004'!A376</f>
        <v>15.</v>
      </c>
      <c r="B20" s="38">
        <f>'Форма по МДС 81-35.2004'!H376</f>
        <v>62</v>
      </c>
      <c r="C20" s="38">
        <f>ROUND(SUMIF('Форма по МДС 81-35.2004'!J376:J393,"Г",'Форма по МДС 81-35.2004'!H376:H393),2)</f>
        <v>0</v>
      </c>
      <c r="D20" s="38">
        <f>ROUND(SUMIF('Форма по МДС 81-35.2004'!J376:J393,"IsMash",'Форма по МДС 81-35.2004'!H376:H393),2)</f>
        <v>0</v>
      </c>
      <c r="E20" s="38">
        <f>'Форма по МДС 81-35.2004'!H377</f>
        <v>0</v>
      </c>
      <c r="F20" s="38">
        <f>ROUND(SUMIF('Форма по МДС 81-35.2004'!J376:J393,"IsMater",'Форма по МДС 81-35.2004'!H376:H393),2)</f>
        <v>62</v>
      </c>
      <c r="G20" s="38">
        <f>ROUND('Форма по МДС 81-35.2004'!F376*'Текущие цены за единицу'!G20,2)</f>
        <v>0</v>
      </c>
      <c r="H20" s="38">
        <f>ROUND('Форма по МДС 81-35.2004'!F376*'Текущие цены за единицу'!H20,2)</f>
        <v>0</v>
      </c>
      <c r="I20" s="33">
        <f>ОКРУГЛВСЕ(SUMIF('Форма по МДС 81-35.2004'!J376:J393,"Г",'Форма по МДС 81-35.2004'!F376:F393),8)</f>
        <v>0</v>
      </c>
      <c r="J20" s="33">
        <f>ОКРУГЛВСЕ('Форма по МДС 81-35.2004'!F376*'Текущие цены за единицу'!J20,8)</f>
        <v>0</v>
      </c>
      <c r="K20" s="33">
        <f>ОКРУГЛВСЕ(SUMIF('Форма по МДС 81-35.2004'!J376:J393,"Ж",'Форма по МДС 81-35.2004'!F376:F393),8)</f>
        <v>0</v>
      </c>
      <c r="L20" s="38">
        <f>ROUND('Форма по МДС 81-35.2004'!F376*'Текущие цены за единицу'!L20,2)</f>
        <v>0</v>
      </c>
      <c r="M20" s="38">
        <f>ROUND('Форма по МДС 81-35.2004'!F376*'Текущие цены за единицу'!M20,2)</f>
        <v>0</v>
      </c>
      <c r="N20" s="38">
        <f>ROUND((C20+E20)*'Форма по МДС 81-35.2004'!G388/100,2)</f>
        <v>0</v>
      </c>
      <c r="O20" s="38">
        <f>ROUND((C20+E20)*'Форма по МДС 81-35.2004'!G391/100,2)</f>
        <v>0</v>
      </c>
      <c r="P20" s="38">
        <f>ROUND('Форма по МДС 81-35.2004'!F376*'Текущие цены за единицу'!P20,2)</f>
        <v>0</v>
      </c>
      <c r="Q20" s="38">
        <f>ROUND('Форма по МДС 81-35.2004'!F376*'Текущие цены за единицу'!Q20,2)</f>
        <v>0</v>
      </c>
      <c r="R20" s="38">
        <f>ROUND('Форма по МДС 81-35.2004'!F376*'Текущие цены за единицу'!R20,2)</f>
        <v>0</v>
      </c>
      <c r="S20" s="38">
        <f>ROUND('Форма по МДС 81-35.2004'!F376*'Текущие цены за единицу'!S20,2)</f>
        <v>0</v>
      </c>
      <c r="T20" s="38">
        <f>ROUND('Форма по МДС 81-35.2004'!F376*'Текущие цены за единицу'!T20,2)</f>
        <v>0</v>
      </c>
      <c r="U20" s="38">
        <f>ROUND('Форма по МДС 81-35.2004'!F376*'Текущие цены за единицу'!U20,2)</f>
        <v>0</v>
      </c>
      <c r="V20" s="38">
        <f>ROUND('Форма по МДС 81-35.2004'!F376*'Текущие цены за единицу'!V20,2)</f>
        <v>0</v>
      </c>
      <c r="X20" s="38">
        <f>ROUND('Форма по МДС 81-35.2004'!F376*'Текущие цены за единицу'!X20,2)</f>
        <v>0</v>
      </c>
      <c r="Y20" s="38">
        <f>IF(Определители!I20="9",ROUND((C20+E20)*(Начисления!M20/100)*('Форма по МДС 81-35.2004'!G388/100),2),0)</f>
        <v>0</v>
      </c>
      <c r="Z20" s="38">
        <f>IF(Определители!I20="9",ROUND((C20+E20)*(100-Начисления!M20/100)*('Форма по МДС 81-35.2004'!G388/100),2),0)</f>
        <v>0</v>
      </c>
      <c r="AA20" s="38">
        <f>IF(Определители!I20="9",ROUND((C20+E20)*(Начисления!M20/100)*('Форма по МДС 81-35.2004'!G391/100),2),0)</f>
        <v>0</v>
      </c>
      <c r="AB20" s="38">
        <f>IF(Определители!I20="9",ROUND((C20+E20)*(100-Начисления!M20/100)*('Форма по МДС 81-35.2004'!G391/100),2),0)</f>
        <v>0</v>
      </c>
      <c r="AC20" s="38">
        <f>IF(Определители!I20="9",ROUND(B20*Начисления!M20/100,2),0)</f>
        <v>0</v>
      </c>
      <c r="AD20" s="38">
        <f>IF(Определители!I20="9",ROUND(B20*(100-Начисления!M20)/100,2),0)</f>
        <v>0</v>
      </c>
      <c r="AE20" s="38">
        <f>ROUND('Форма по МДС 81-35.2004'!F376*'Текущие цены за единицу'!AE20,2)</f>
        <v>0</v>
      </c>
    </row>
    <row r="21" spans="1:31" ht="10.5">
      <c r="A21" s="38" t="str">
        <f>'Форма по МДС 81-35.2004'!A394</f>
        <v>16.</v>
      </c>
      <c r="B21" s="38">
        <f>'Форма по МДС 81-35.2004'!H394</f>
        <v>21.25</v>
      </c>
      <c r="C21" s="38">
        <f>ROUND(SUMIF('Форма по МДС 81-35.2004'!J394:J411,"Г",'Форма по МДС 81-35.2004'!H394:H411),2)</f>
        <v>0</v>
      </c>
      <c r="D21" s="38">
        <f>ROUND(SUMIF('Форма по МДС 81-35.2004'!J394:J411,"IsMash",'Форма по МДС 81-35.2004'!H394:H411),2)</f>
        <v>0</v>
      </c>
      <c r="E21" s="38">
        <f>'Форма по МДС 81-35.2004'!H395</f>
        <v>0</v>
      </c>
      <c r="F21" s="38">
        <f>ROUND(SUMIF('Форма по МДС 81-35.2004'!J394:J411,"IsMater",'Форма по МДС 81-35.2004'!H394:H411),2)</f>
        <v>21.25</v>
      </c>
      <c r="G21" s="38">
        <f>ROUND('Форма по МДС 81-35.2004'!F394*'Текущие цены за единицу'!G21,2)</f>
        <v>0</v>
      </c>
      <c r="H21" s="38">
        <f>ROUND('Форма по МДС 81-35.2004'!F394*'Текущие цены за единицу'!H21,2)</f>
        <v>0</v>
      </c>
      <c r="I21" s="33">
        <f>ОКРУГЛВСЕ(SUMIF('Форма по МДС 81-35.2004'!J394:J411,"Г",'Форма по МДС 81-35.2004'!F394:F411),8)</f>
        <v>0</v>
      </c>
      <c r="J21" s="33">
        <f>ОКРУГЛВСЕ('Форма по МДС 81-35.2004'!F394*'Текущие цены за единицу'!J21,8)</f>
        <v>0</v>
      </c>
      <c r="K21" s="33">
        <f>ОКРУГЛВСЕ(SUMIF('Форма по МДС 81-35.2004'!J394:J411,"Ж",'Форма по МДС 81-35.2004'!F394:F411),8)</f>
        <v>0</v>
      </c>
      <c r="L21" s="38">
        <f>ROUND('Форма по МДС 81-35.2004'!F394*'Текущие цены за единицу'!L21,2)</f>
        <v>0</v>
      </c>
      <c r="M21" s="38">
        <f>ROUND('Форма по МДС 81-35.2004'!F394*'Текущие цены за единицу'!M21,2)</f>
        <v>0</v>
      </c>
      <c r="N21" s="38">
        <f>ROUND((C21+E21)*'Форма по МДС 81-35.2004'!G406/100,2)</f>
        <v>0</v>
      </c>
      <c r="O21" s="38">
        <f>ROUND((C21+E21)*'Форма по МДС 81-35.2004'!G409/100,2)</f>
        <v>0</v>
      </c>
      <c r="P21" s="38">
        <f>ROUND('Форма по МДС 81-35.2004'!F394*'Текущие цены за единицу'!P21,2)</f>
        <v>0</v>
      </c>
      <c r="Q21" s="38">
        <f>ROUND('Форма по МДС 81-35.2004'!F394*'Текущие цены за единицу'!Q21,2)</f>
        <v>0</v>
      </c>
      <c r="R21" s="38">
        <f>ROUND('Форма по МДС 81-35.2004'!F394*'Текущие цены за единицу'!R21,2)</f>
        <v>0</v>
      </c>
      <c r="S21" s="38">
        <f>ROUND('Форма по МДС 81-35.2004'!F394*'Текущие цены за единицу'!S21,2)</f>
        <v>0</v>
      </c>
      <c r="T21" s="38">
        <f>ROUND('Форма по МДС 81-35.2004'!F394*'Текущие цены за единицу'!T21,2)</f>
        <v>0</v>
      </c>
      <c r="U21" s="38">
        <f>ROUND('Форма по МДС 81-35.2004'!F394*'Текущие цены за единицу'!U21,2)</f>
        <v>0</v>
      </c>
      <c r="V21" s="38">
        <f>ROUND('Форма по МДС 81-35.2004'!F394*'Текущие цены за единицу'!V21,2)</f>
        <v>0</v>
      </c>
      <c r="X21" s="38">
        <f>ROUND('Форма по МДС 81-35.2004'!F394*'Текущие цены за единицу'!X21,2)</f>
        <v>0</v>
      </c>
      <c r="Y21" s="38">
        <f>IF(Определители!I21="9",ROUND((C21+E21)*(Начисления!M21/100)*('Форма по МДС 81-35.2004'!G406/100),2),0)</f>
        <v>0</v>
      </c>
      <c r="Z21" s="38">
        <f>IF(Определители!I21="9",ROUND((C21+E21)*(100-Начисления!M21/100)*('Форма по МДС 81-35.2004'!G406/100),2),0)</f>
        <v>0</v>
      </c>
      <c r="AA21" s="38">
        <f>IF(Определители!I21="9",ROUND((C21+E21)*(Начисления!M21/100)*('Форма по МДС 81-35.2004'!G409/100),2),0)</f>
        <v>0</v>
      </c>
      <c r="AB21" s="38">
        <f>IF(Определители!I21="9",ROUND((C21+E21)*(100-Начисления!M21/100)*('Форма по МДС 81-35.2004'!G409/100),2),0)</f>
        <v>0</v>
      </c>
      <c r="AC21" s="38">
        <f>IF(Определители!I21="9",ROUND(B21*Начисления!M21/100,2),0)</f>
        <v>0</v>
      </c>
      <c r="AD21" s="38">
        <f>IF(Определители!I21="9",ROUND(B21*(100-Начисления!M21)/100,2),0)</f>
        <v>0</v>
      </c>
      <c r="AE21" s="38">
        <f>ROUND('Форма по МДС 81-35.2004'!F394*'Текущие цены за единицу'!AE21,2)</f>
        <v>0</v>
      </c>
    </row>
    <row r="22" spans="1:31" ht="10.5">
      <c r="A22" s="38" t="str">
        <f>'Форма по МДС 81-35.2004'!A412</f>
        <v>17.</v>
      </c>
      <c r="B22" s="38">
        <f>'Форма по МДС 81-35.2004'!H412</f>
        <v>250</v>
      </c>
      <c r="C22" s="38">
        <f>ROUND(SUMIF('Форма по МДС 81-35.2004'!J412:J429,"Г",'Форма по МДС 81-35.2004'!H412:H429),2)</f>
        <v>0</v>
      </c>
      <c r="D22" s="38">
        <f>ROUND(SUMIF('Форма по МДС 81-35.2004'!J412:J429,"IsMash",'Форма по МДС 81-35.2004'!H412:H429),2)</f>
        <v>0</v>
      </c>
      <c r="E22" s="38">
        <f>'Форма по МДС 81-35.2004'!H413</f>
        <v>0</v>
      </c>
      <c r="F22" s="38">
        <f>ROUND(SUMIF('Форма по МДС 81-35.2004'!J412:J429,"IsMater",'Форма по МДС 81-35.2004'!H412:H429),2)</f>
        <v>250</v>
      </c>
      <c r="G22" s="38">
        <f>ROUND('Форма по МДС 81-35.2004'!F412*'Текущие цены за единицу'!G22,2)</f>
        <v>0</v>
      </c>
      <c r="H22" s="38">
        <f>ROUND('Форма по МДС 81-35.2004'!F412*'Текущие цены за единицу'!H22,2)</f>
        <v>0</v>
      </c>
      <c r="I22" s="33">
        <f>ОКРУГЛВСЕ(SUMIF('Форма по МДС 81-35.2004'!J412:J429,"Г",'Форма по МДС 81-35.2004'!F412:F429),8)</f>
        <v>0</v>
      </c>
      <c r="J22" s="33">
        <f>ОКРУГЛВСЕ('Форма по МДС 81-35.2004'!F412*'Текущие цены за единицу'!J22,8)</f>
        <v>0</v>
      </c>
      <c r="K22" s="33">
        <f>ОКРУГЛВСЕ(SUMIF('Форма по МДС 81-35.2004'!J412:J429,"Ж",'Форма по МДС 81-35.2004'!F412:F429),8)</f>
        <v>0</v>
      </c>
      <c r="L22" s="38">
        <f>ROUND('Форма по МДС 81-35.2004'!F412*'Текущие цены за единицу'!L22,2)</f>
        <v>0</v>
      </c>
      <c r="M22" s="38">
        <f>ROUND('Форма по МДС 81-35.2004'!F412*'Текущие цены за единицу'!M22,2)</f>
        <v>0</v>
      </c>
      <c r="N22" s="38">
        <f>ROUND((C22+E22)*'Форма по МДС 81-35.2004'!G424/100,2)</f>
        <v>0</v>
      </c>
      <c r="O22" s="38">
        <f>ROUND((C22+E22)*'Форма по МДС 81-35.2004'!G427/100,2)</f>
        <v>0</v>
      </c>
      <c r="P22" s="38">
        <f>ROUND('Форма по МДС 81-35.2004'!F412*'Текущие цены за единицу'!P22,2)</f>
        <v>0</v>
      </c>
      <c r="Q22" s="38">
        <f>ROUND('Форма по МДС 81-35.2004'!F412*'Текущие цены за единицу'!Q22,2)</f>
        <v>0</v>
      </c>
      <c r="R22" s="38">
        <f>ROUND('Форма по МДС 81-35.2004'!F412*'Текущие цены за единицу'!R22,2)</f>
        <v>0</v>
      </c>
      <c r="S22" s="38">
        <f>ROUND('Форма по МДС 81-35.2004'!F412*'Текущие цены за единицу'!S22,2)</f>
        <v>0</v>
      </c>
      <c r="T22" s="38">
        <f>ROUND('Форма по МДС 81-35.2004'!F412*'Текущие цены за единицу'!T22,2)</f>
        <v>0</v>
      </c>
      <c r="U22" s="38">
        <f>ROUND('Форма по МДС 81-35.2004'!F412*'Текущие цены за единицу'!U22,2)</f>
        <v>0</v>
      </c>
      <c r="V22" s="38">
        <f>ROUND('Форма по МДС 81-35.2004'!F412*'Текущие цены за единицу'!V22,2)</f>
        <v>0</v>
      </c>
      <c r="X22" s="38">
        <f>ROUND('Форма по МДС 81-35.2004'!F412*'Текущие цены за единицу'!X22,2)</f>
        <v>0</v>
      </c>
      <c r="Y22" s="38">
        <f>IF(Определители!I22="9",ROUND((C22+E22)*(Начисления!M22/100)*('Форма по МДС 81-35.2004'!G424/100),2),0)</f>
        <v>0</v>
      </c>
      <c r="Z22" s="38">
        <f>IF(Определители!I22="9",ROUND((C22+E22)*(100-Начисления!M22/100)*('Форма по МДС 81-35.2004'!G424/100),2),0)</f>
        <v>0</v>
      </c>
      <c r="AA22" s="38">
        <f>IF(Определители!I22="9",ROUND((C22+E22)*(Начисления!M22/100)*('Форма по МДС 81-35.2004'!G427/100),2),0)</f>
        <v>0</v>
      </c>
      <c r="AB22" s="38">
        <f>IF(Определители!I22="9",ROUND((C22+E22)*(100-Начисления!M22/100)*('Форма по МДС 81-35.2004'!G427/100),2),0)</f>
        <v>0</v>
      </c>
      <c r="AC22" s="38">
        <f>IF(Определители!I22="9",ROUND(B22*Начисления!M22/100,2),0)</f>
        <v>0</v>
      </c>
      <c r="AD22" s="38">
        <f>IF(Определители!I22="9",ROUND(B22*(100-Начисления!M22)/100,2),0)</f>
        <v>0</v>
      </c>
      <c r="AE22" s="38">
        <f>ROUND('Форма по МДС 81-35.2004'!F412*'Текущие цены за единицу'!AE22,2)</f>
        <v>0</v>
      </c>
    </row>
    <row r="23" spans="1:31" ht="10.5">
      <c r="A23" s="38" t="str">
        <f>'Форма по МДС 81-35.2004'!A430</f>
        <v>18.</v>
      </c>
      <c r="B23" s="38">
        <f>'Форма по МДС 81-35.2004'!H430</f>
        <v>200</v>
      </c>
      <c r="C23" s="38">
        <f>ROUND(SUMIF('Форма по МДС 81-35.2004'!J430:J447,"Г",'Форма по МДС 81-35.2004'!H430:H447),2)</f>
        <v>0</v>
      </c>
      <c r="D23" s="38">
        <f>ROUND(SUMIF('Форма по МДС 81-35.2004'!J430:J447,"IsMash",'Форма по МДС 81-35.2004'!H430:H447),2)</f>
        <v>0</v>
      </c>
      <c r="E23" s="38">
        <f>'Форма по МДС 81-35.2004'!H431</f>
        <v>0</v>
      </c>
      <c r="F23" s="38">
        <f>ROUND(SUMIF('Форма по МДС 81-35.2004'!J430:J447,"IsMater",'Форма по МДС 81-35.2004'!H430:H447),2)</f>
        <v>200</v>
      </c>
      <c r="G23" s="38">
        <f>ROUND('Форма по МДС 81-35.2004'!F430*'Текущие цены за единицу'!G23,2)</f>
        <v>0</v>
      </c>
      <c r="H23" s="38">
        <f>ROUND('Форма по МДС 81-35.2004'!F430*'Текущие цены за единицу'!H23,2)</f>
        <v>0</v>
      </c>
      <c r="I23" s="33">
        <f>ОКРУГЛВСЕ(SUMIF('Форма по МДС 81-35.2004'!J430:J447,"Г",'Форма по МДС 81-35.2004'!F430:F447),8)</f>
        <v>0</v>
      </c>
      <c r="J23" s="33">
        <f>ОКРУГЛВСЕ('Форма по МДС 81-35.2004'!F430*'Текущие цены за единицу'!J23,8)</f>
        <v>0</v>
      </c>
      <c r="K23" s="33">
        <f>ОКРУГЛВСЕ(SUMIF('Форма по МДС 81-35.2004'!J430:J447,"Ж",'Форма по МДС 81-35.2004'!F430:F447),8)</f>
        <v>0</v>
      </c>
      <c r="L23" s="38">
        <f>ROUND('Форма по МДС 81-35.2004'!F430*'Текущие цены за единицу'!L23,2)</f>
        <v>0</v>
      </c>
      <c r="M23" s="38">
        <f>ROUND('Форма по МДС 81-35.2004'!F430*'Текущие цены за единицу'!M23,2)</f>
        <v>0</v>
      </c>
      <c r="N23" s="38">
        <f>ROUND((C23+E23)*'Форма по МДС 81-35.2004'!G442/100,2)</f>
        <v>0</v>
      </c>
      <c r="O23" s="38">
        <f>ROUND((C23+E23)*'Форма по МДС 81-35.2004'!G445/100,2)</f>
        <v>0</v>
      </c>
      <c r="P23" s="38">
        <f>ROUND('Форма по МДС 81-35.2004'!F430*'Текущие цены за единицу'!P23,2)</f>
        <v>0</v>
      </c>
      <c r="Q23" s="38">
        <f>ROUND('Форма по МДС 81-35.2004'!F430*'Текущие цены за единицу'!Q23,2)</f>
        <v>0</v>
      </c>
      <c r="R23" s="38">
        <f>ROUND('Форма по МДС 81-35.2004'!F430*'Текущие цены за единицу'!R23,2)</f>
        <v>0</v>
      </c>
      <c r="S23" s="38">
        <f>ROUND('Форма по МДС 81-35.2004'!F430*'Текущие цены за единицу'!S23,2)</f>
        <v>0</v>
      </c>
      <c r="T23" s="38">
        <f>ROUND('Форма по МДС 81-35.2004'!F430*'Текущие цены за единицу'!T23,2)</f>
        <v>0</v>
      </c>
      <c r="U23" s="38">
        <f>ROUND('Форма по МДС 81-35.2004'!F430*'Текущие цены за единицу'!U23,2)</f>
        <v>0</v>
      </c>
      <c r="V23" s="38">
        <f>ROUND('Форма по МДС 81-35.2004'!F430*'Текущие цены за единицу'!V23,2)</f>
        <v>0</v>
      </c>
      <c r="X23" s="38">
        <f>ROUND('Форма по МДС 81-35.2004'!F430*'Текущие цены за единицу'!X23,2)</f>
        <v>0</v>
      </c>
      <c r="Y23" s="38">
        <f>IF(Определители!I23="9",ROUND((C23+E23)*(Начисления!M23/100)*('Форма по МДС 81-35.2004'!G442/100),2),0)</f>
        <v>0</v>
      </c>
      <c r="Z23" s="38">
        <f>IF(Определители!I23="9",ROUND((C23+E23)*(100-Начисления!M23/100)*('Форма по МДС 81-35.2004'!G442/100),2),0)</f>
        <v>0</v>
      </c>
      <c r="AA23" s="38">
        <f>IF(Определители!I23="9",ROUND((C23+E23)*(Начисления!M23/100)*('Форма по МДС 81-35.2004'!G445/100),2),0)</f>
        <v>0</v>
      </c>
      <c r="AB23" s="38">
        <f>IF(Определители!I23="9",ROUND((C23+E23)*(100-Начисления!M23/100)*('Форма по МДС 81-35.2004'!G445/100),2),0)</f>
        <v>0</v>
      </c>
      <c r="AC23" s="38">
        <f>IF(Определители!I23="9",ROUND(B23*Начисления!M23/100,2),0)</f>
        <v>0</v>
      </c>
      <c r="AD23" s="38">
        <f>IF(Определители!I23="9",ROUND(B23*(100-Начисления!M23)/100,2),0)</f>
        <v>0</v>
      </c>
      <c r="AE23" s="38">
        <f>ROUND('Форма по МДС 81-35.2004'!F430*'Текущие цены за единицу'!AE23,2)</f>
        <v>0</v>
      </c>
    </row>
    <row r="24" spans="1:31" ht="10.5">
      <c r="A24" s="38" t="str">
        <f>'Форма по МДС 81-35.2004'!A448</f>
        <v>19.</v>
      </c>
      <c r="B24" s="38">
        <f>'Форма по МДС 81-35.2004'!H448</f>
        <v>7400</v>
      </c>
      <c r="C24" s="38">
        <f>ROUND(SUMIF('Форма по МДС 81-35.2004'!J448:J465,"Г",'Форма по МДС 81-35.2004'!H448:H465),2)</f>
        <v>0</v>
      </c>
      <c r="D24" s="38">
        <f>ROUND(SUMIF('Форма по МДС 81-35.2004'!J448:J465,"IsMash",'Форма по МДС 81-35.2004'!H448:H465),2)</f>
        <v>0</v>
      </c>
      <c r="E24" s="38">
        <f>'Форма по МДС 81-35.2004'!H449</f>
        <v>0</v>
      </c>
      <c r="F24" s="38">
        <f>ROUND(SUMIF('Форма по МДС 81-35.2004'!J448:J465,"IsMater",'Форма по МДС 81-35.2004'!H448:H465),2)</f>
        <v>7400</v>
      </c>
      <c r="G24" s="38">
        <f>ROUND('Форма по МДС 81-35.2004'!F448*'Текущие цены за единицу'!G24,2)</f>
        <v>0</v>
      </c>
      <c r="H24" s="38">
        <f>ROUND('Форма по МДС 81-35.2004'!F448*'Текущие цены за единицу'!H24,2)</f>
        <v>0</v>
      </c>
      <c r="I24" s="33">
        <f>ОКРУГЛВСЕ(SUMIF('Форма по МДС 81-35.2004'!J448:J465,"Г",'Форма по МДС 81-35.2004'!F448:F465),8)</f>
        <v>0</v>
      </c>
      <c r="J24" s="33">
        <f>ОКРУГЛВСЕ('Форма по МДС 81-35.2004'!F448*'Текущие цены за единицу'!J24,8)</f>
        <v>0</v>
      </c>
      <c r="K24" s="33">
        <f>ОКРУГЛВСЕ(SUMIF('Форма по МДС 81-35.2004'!J448:J465,"Ж",'Форма по МДС 81-35.2004'!F448:F465),8)</f>
        <v>0</v>
      </c>
      <c r="L24" s="38">
        <f>ROUND('Форма по МДС 81-35.2004'!F448*'Текущие цены за единицу'!L24,2)</f>
        <v>0</v>
      </c>
      <c r="M24" s="38">
        <f>ROUND('Форма по МДС 81-35.2004'!F448*'Текущие цены за единицу'!M24,2)</f>
        <v>0</v>
      </c>
      <c r="N24" s="38">
        <f>ROUND((C24+E24)*'Форма по МДС 81-35.2004'!G460/100,2)</f>
        <v>0</v>
      </c>
      <c r="O24" s="38">
        <f>ROUND((C24+E24)*'Форма по МДС 81-35.2004'!G463/100,2)</f>
        <v>0</v>
      </c>
      <c r="P24" s="38">
        <f>ROUND('Форма по МДС 81-35.2004'!F448*'Текущие цены за единицу'!P24,2)</f>
        <v>0</v>
      </c>
      <c r="Q24" s="38">
        <f>ROUND('Форма по МДС 81-35.2004'!F448*'Текущие цены за единицу'!Q24,2)</f>
        <v>0</v>
      </c>
      <c r="R24" s="38">
        <f>ROUND('Форма по МДС 81-35.2004'!F448*'Текущие цены за единицу'!R24,2)</f>
        <v>0</v>
      </c>
      <c r="S24" s="38">
        <f>ROUND('Форма по МДС 81-35.2004'!F448*'Текущие цены за единицу'!S24,2)</f>
        <v>0</v>
      </c>
      <c r="T24" s="38">
        <f>ROUND('Форма по МДС 81-35.2004'!F448*'Текущие цены за единицу'!T24,2)</f>
        <v>0</v>
      </c>
      <c r="U24" s="38">
        <f>ROUND('Форма по МДС 81-35.2004'!F448*'Текущие цены за единицу'!U24,2)</f>
        <v>0</v>
      </c>
      <c r="V24" s="38">
        <f>ROUND('Форма по МДС 81-35.2004'!F448*'Текущие цены за единицу'!V24,2)</f>
        <v>0</v>
      </c>
      <c r="X24" s="38">
        <f>ROUND('Форма по МДС 81-35.2004'!F448*'Текущие цены за единицу'!X24,2)</f>
        <v>0</v>
      </c>
      <c r="Y24" s="38">
        <f>IF(Определители!I24="9",ROUND((C24+E24)*(Начисления!M24/100)*('Форма по МДС 81-35.2004'!G460/100),2),0)</f>
        <v>0</v>
      </c>
      <c r="Z24" s="38">
        <f>IF(Определители!I24="9",ROUND((C24+E24)*(100-Начисления!M24/100)*('Форма по МДС 81-35.2004'!G460/100),2),0)</f>
        <v>0</v>
      </c>
      <c r="AA24" s="38">
        <f>IF(Определители!I24="9",ROUND((C24+E24)*(Начисления!M24/100)*('Форма по МДС 81-35.2004'!G463/100),2),0)</f>
        <v>0</v>
      </c>
      <c r="AB24" s="38">
        <f>IF(Определители!I24="9",ROUND((C24+E24)*(100-Начисления!M24/100)*('Форма по МДС 81-35.2004'!G463/100),2),0)</f>
        <v>0</v>
      </c>
      <c r="AC24" s="38">
        <f>IF(Определители!I24="9",ROUND(B24*Начисления!M24/100,2),0)</f>
        <v>0</v>
      </c>
      <c r="AD24" s="38">
        <f>IF(Определители!I24="9",ROUND(B24*(100-Начисления!M24)/100,2),0)</f>
        <v>0</v>
      </c>
      <c r="AE24" s="38">
        <f>ROUND('Форма по МДС 81-35.2004'!F448*'Текущие цены за единицу'!AE24,2)</f>
        <v>0</v>
      </c>
    </row>
    <row r="25" spans="1:31" ht="10.5">
      <c r="A25" s="38" t="str">
        <f>'Форма по МДС 81-35.2004'!A466</f>
        <v>20.</v>
      </c>
      <c r="B25" s="38">
        <f>'Форма по МДС 81-35.2004'!H466</f>
        <v>3500</v>
      </c>
      <c r="C25" s="38">
        <f>ROUND(SUMIF('Форма по МДС 81-35.2004'!J466:J483,"Г",'Форма по МДС 81-35.2004'!H466:H483),2)</f>
        <v>0</v>
      </c>
      <c r="D25" s="38">
        <f>ROUND(SUMIF('Форма по МДС 81-35.2004'!J466:J483,"IsMash",'Форма по МДС 81-35.2004'!H466:H483),2)</f>
        <v>0</v>
      </c>
      <c r="E25" s="38">
        <f>'Форма по МДС 81-35.2004'!H467</f>
        <v>0</v>
      </c>
      <c r="F25" s="38">
        <f>ROUND(SUMIF('Форма по МДС 81-35.2004'!J466:J483,"IsMater",'Форма по МДС 81-35.2004'!H466:H483),2)</f>
        <v>3500</v>
      </c>
      <c r="G25" s="38">
        <f>ROUND('Форма по МДС 81-35.2004'!F466*'Текущие цены за единицу'!G25,2)</f>
        <v>0</v>
      </c>
      <c r="H25" s="38">
        <f>ROUND('Форма по МДС 81-35.2004'!F466*'Текущие цены за единицу'!H25,2)</f>
        <v>0</v>
      </c>
      <c r="I25" s="33">
        <f>ОКРУГЛВСЕ(SUMIF('Форма по МДС 81-35.2004'!J466:J483,"Г",'Форма по МДС 81-35.2004'!F466:F483),8)</f>
        <v>0</v>
      </c>
      <c r="J25" s="33">
        <f>ОКРУГЛВСЕ('Форма по МДС 81-35.2004'!F466*'Текущие цены за единицу'!J25,8)</f>
        <v>0</v>
      </c>
      <c r="K25" s="33">
        <f>ОКРУГЛВСЕ(SUMIF('Форма по МДС 81-35.2004'!J466:J483,"Ж",'Форма по МДС 81-35.2004'!F466:F483),8)</f>
        <v>0</v>
      </c>
      <c r="L25" s="38">
        <f>ROUND('Форма по МДС 81-35.2004'!F466*'Текущие цены за единицу'!L25,2)</f>
        <v>0</v>
      </c>
      <c r="M25" s="38">
        <f>ROUND('Форма по МДС 81-35.2004'!F466*'Текущие цены за единицу'!M25,2)</f>
        <v>0</v>
      </c>
      <c r="N25" s="38">
        <f>ROUND((C25+E25)*'Форма по МДС 81-35.2004'!G478/100,2)</f>
        <v>0</v>
      </c>
      <c r="O25" s="38">
        <f>ROUND((C25+E25)*'Форма по МДС 81-35.2004'!G481/100,2)</f>
        <v>0</v>
      </c>
      <c r="P25" s="38">
        <f>ROUND('Форма по МДС 81-35.2004'!F466*'Текущие цены за единицу'!P25,2)</f>
        <v>0</v>
      </c>
      <c r="Q25" s="38">
        <f>ROUND('Форма по МДС 81-35.2004'!F466*'Текущие цены за единицу'!Q25,2)</f>
        <v>0</v>
      </c>
      <c r="R25" s="38">
        <f>ROUND('Форма по МДС 81-35.2004'!F466*'Текущие цены за единицу'!R25,2)</f>
        <v>0</v>
      </c>
      <c r="S25" s="38">
        <f>ROUND('Форма по МДС 81-35.2004'!F466*'Текущие цены за единицу'!S25,2)</f>
        <v>0</v>
      </c>
      <c r="T25" s="38">
        <f>ROUND('Форма по МДС 81-35.2004'!F466*'Текущие цены за единицу'!T25,2)</f>
        <v>0</v>
      </c>
      <c r="U25" s="38">
        <f>ROUND('Форма по МДС 81-35.2004'!F466*'Текущие цены за единицу'!U25,2)</f>
        <v>0</v>
      </c>
      <c r="V25" s="38">
        <f>ROUND('Форма по МДС 81-35.2004'!F466*'Текущие цены за единицу'!V25,2)</f>
        <v>0</v>
      </c>
      <c r="X25" s="38">
        <f>ROUND('Форма по МДС 81-35.2004'!F466*'Текущие цены за единицу'!X25,2)</f>
        <v>0</v>
      </c>
      <c r="Y25" s="38">
        <f>IF(Определители!I25="9",ROUND((C25+E25)*(Начисления!M25/100)*('Форма по МДС 81-35.2004'!G478/100),2),0)</f>
        <v>0</v>
      </c>
      <c r="Z25" s="38">
        <f>IF(Определители!I25="9",ROUND((C25+E25)*(100-Начисления!M25/100)*('Форма по МДС 81-35.2004'!G478/100),2),0)</f>
        <v>0</v>
      </c>
      <c r="AA25" s="38">
        <f>IF(Определители!I25="9",ROUND((C25+E25)*(Начисления!M25/100)*('Форма по МДС 81-35.2004'!G481/100),2),0)</f>
        <v>0</v>
      </c>
      <c r="AB25" s="38">
        <f>IF(Определители!I25="9",ROUND((C25+E25)*(100-Начисления!M25/100)*('Форма по МДС 81-35.2004'!G481/100),2),0)</f>
        <v>0</v>
      </c>
      <c r="AC25" s="38">
        <f>IF(Определители!I25="9",ROUND(B25*Начисления!M25/100,2),0)</f>
        <v>0</v>
      </c>
      <c r="AD25" s="38">
        <f>IF(Определители!I25="9",ROUND(B25*(100-Начисления!M25)/100,2),0)</f>
        <v>0</v>
      </c>
      <c r="AE25" s="38">
        <f>ROUND('Форма по МДС 81-35.2004'!F466*'Текущие цены за единицу'!AE25,2)</f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X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8" customWidth="1"/>
  </cols>
  <sheetData>
    <row r="1" spans="1:50" s="39" customFormat="1" ht="10.5">
      <c r="A1" s="6"/>
      <c r="B1" s="39" t="s">
        <v>451</v>
      </c>
      <c r="C1" s="39" t="s">
        <v>452</v>
      </c>
      <c r="D1" s="39" t="s">
        <v>453</v>
      </c>
      <c r="E1" s="39" t="s">
        <v>454</v>
      </c>
      <c r="F1" s="39" t="s">
        <v>455</v>
      </c>
      <c r="G1" s="39" t="s">
        <v>456</v>
      </c>
      <c r="H1" s="39" t="s">
        <v>457</v>
      </c>
      <c r="I1" s="39" t="s">
        <v>458</v>
      </c>
      <c r="J1" s="39" t="s">
        <v>459</v>
      </c>
      <c r="K1" s="39" t="s">
        <v>460</v>
      </c>
      <c r="L1" s="39" t="s">
        <v>461</v>
      </c>
      <c r="M1" s="39" t="s">
        <v>462</v>
      </c>
      <c r="N1" s="39" t="s">
        <v>463</v>
      </c>
      <c r="O1" s="39" t="s">
        <v>464</v>
      </c>
      <c r="P1" s="39" t="s">
        <v>465</v>
      </c>
      <c r="Q1" s="39" t="s">
        <v>466</v>
      </c>
      <c r="R1" s="39" t="s">
        <v>467</v>
      </c>
      <c r="S1" s="39" t="s">
        <v>468</v>
      </c>
      <c r="T1" s="39" t="s">
        <v>469</v>
      </c>
      <c r="U1" s="39" t="s">
        <v>470</v>
      </c>
      <c r="V1" s="39" t="s">
        <v>471</v>
      </c>
      <c r="W1" s="39" t="s">
        <v>472</v>
      </c>
      <c r="X1" s="39" t="s">
        <v>473</v>
      </c>
      <c r="Y1" s="39" t="s">
        <v>474</v>
      </c>
      <c r="Z1" s="39" t="s">
        <v>475</v>
      </c>
      <c r="AA1" s="39" t="s">
        <v>476</v>
      </c>
      <c r="AB1" s="39" t="s">
        <v>477</v>
      </c>
      <c r="AC1" s="39" t="s">
        <v>478</v>
      </c>
      <c r="AD1" s="39" t="s">
        <v>479</v>
      </c>
      <c r="AE1" s="39" t="s">
        <v>480</v>
      </c>
      <c r="AF1" s="39" t="s">
        <v>481</v>
      </c>
      <c r="AG1" s="39" t="s">
        <v>482</v>
      </c>
      <c r="AH1" s="39" t="s">
        <v>483</v>
      </c>
      <c r="AI1" s="39" t="s">
        <v>484</v>
      </c>
      <c r="AJ1" s="39" t="s">
        <v>485</v>
      </c>
      <c r="AK1" s="39" t="s">
        <v>486</v>
      </c>
      <c r="AL1" s="39" t="s">
        <v>487</v>
      </c>
      <c r="AM1" s="39" t="s">
        <v>488</v>
      </c>
      <c r="AN1" s="39" t="s">
        <v>489</v>
      </c>
      <c r="AO1" s="39" t="s">
        <v>490</v>
      </c>
      <c r="AP1" s="39" t="s">
        <v>491</v>
      </c>
      <c r="AQ1" s="39" t="s">
        <v>492</v>
      </c>
      <c r="AR1" s="39" t="s">
        <v>493</v>
      </c>
      <c r="AS1" s="39" t="s">
        <v>494</v>
      </c>
      <c r="AT1" s="39" t="s">
        <v>495</v>
      </c>
      <c r="AU1" s="39" t="s">
        <v>496</v>
      </c>
      <c r="AV1" s="39" t="s">
        <v>497</v>
      </c>
      <c r="AW1" s="39" t="s">
        <v>498</v>
      </c>
      <c r="AX1" s="39" t="s">
        <v>499</v>
      </c>
    </row>
    <row r="2" spans="1:8" ht="10.5">
      <c r="A2" s="85"/>
      <c r="B2" s="86"/>
      <c r="C2" s="86"/>
      <c r="D2" s="86"/>
      <c r="E2" s="86"/>
      <c r="F2" s="86"/>
      <c r="G2" s="86"/>
      <c r="H2" s="86"/>
    </row>
    <row r="3" spans="1:8" ht="10.5">
      <c r="A3" s="40"/>
      <c r="B3" s="87" t="s">
        <v>449</v>
      </c>
      <c r="C3" s="87"/>
      <c r="D3" s="87"/>
      <c r="E3" s="87"/>
      <c r="F3" s="87"/>
      <c r="G3" s="87"/>
      <c r="H3" s="87"/>
    </row>
    <row r="4" spans="1:8" ht="10.5">
      <c r="A4" s="40"/>
      <c r="B4" s="87" t="s">
        <v>450</v>
      </c>
      <c r="C4" s="87"/>
      <c r="D4" s="87"/>
      <c r="E4" s="87"/>
      <c r="F4" s="87"/>
      <c r="G4" s="87"/>
      <c r="H4" s="87"/>
    </row>
    <row r="5" spans="1:8" ht="10.5">
      <c r="A5" s="85"/>
      <c r="B5" s="86"/>
      <c r="C5" s="86"/>
      <c r="D5" s="86"/>
      <c r="E5" s="86"/>
      <c r="F5" s="86"/>
      <c r="G5" s="86"/>
      <c r="H5" s="86"/>
    </row>
    <row r="6" spans="1:50" ht="10.5">
      <c r="A6" s="33" t="str">
        <f>'Форма по МДС 81-35.2004'!A25</f>
        <v>1.</v>
      </c>
      <c r="B6" s="33">
        <v>1</v>
      </c>
      <c r="C6" s="33">
        <v>1</v>
      </c>
      <c r="D6" s="33">
        <v>1.15</v>
      </c>
      <c r="E6" s="33">
        <v>1.15</v>
      </c>
      <c r="F6" s="33">
        <v>1.15</v>
      </c>
      <c r="G6" s="33">
        <v>1</v>
      </c>
      <c r="H6" s="33">
        <v>1</v>
      </c>
      <c r="I6" s="33">
        <v>1</v>
      </c>
      <c r="J6" s="33">
        <v>1</v>
      </c>
      <c r="K6" s="33">
        <v>0</v>
      </c>
      <c r="L6" s="33">
        <v>0</v>
      </c>
      <c r="M6" s="33">
        <v>100</v>
      </c>
      <c r="N6" s="33">
        <v>0</v>
      </c>
      <c r="O6" s="33">
        <v>0</v>
      </c>
      <c r="P6" s="33">
        <v>1</v>
      </c>
      <c r="Q6" s="33">
        <v>1</v>
      </c>
      <c r="R6" s="33">
        <v>0</v>
      </c>
      <c r="S6" s="33">
        <v>0</v>
      </c>
      <c r="T6" s="33">
        <v>1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1.7</v>
      </c>
      <c r="AH6" s="33">
        <v>1.6</v>
      </c>
      <c r="AI6" s="33">
        <v>1.29</v>
      </c>
      <c r="AJ6" s="33">
        <v>0.092</v>
      </c>
      <c r="AK6" s="33">
        <v>0.18</v>
      </c>
      <c r="AL6" s="33">
        <v>1</v>
      </c>
      <c r="AM6" s="33">
        <v>1</v>
      </c>
      <c r="AN6" s="33">
        <v>0.2</v>
      </c>
      <c r="AO6" s="33">
        <v>1.5</v>
      </c>
      <c r="AP6" s="33">
        <v>1</v>
      </c>
      <c r="AQ6" s="33">
        <v>1</v>
      </c>
      <c r="AR6" s="33">
        <v>1</v>
      </c>
      <c r="AS6" s="33">
        <v>1</v>
      </c>
      <c r="AT6" s="33">
        <v>1</v>
      </c>
      <c r="AU6" s="33">
        <v>100</v>
      </c>
      <c r="AV6" s="33">
        <v>1</v>
      </c>
      <c r="AW6" s="33">
        <v>1</v>
      </c>
      <c r="AX6" s="33">
        <v>1</v>
      </c>
    </row>
    <row r="7" spans="1:50" ht="10.5">
      <c r="A7" s="33" t="str">
        <f>'Форма по МДС 81-35.2004'!A45</f>
        <v>2.</v>
      </c>
      <c r="B7" s="33">
        <v>1</v>
      </c>
      <c r="C7" s="33">
        <v>1</v>
      </c>
      <c r="D7" s="33">
        <v>1.426</v>
      </c>
      <c r="E7" s="33">
        <v>1.426</v>
      </c>
      <c r="F7" s="33">
        <v>1.426</v>
      </c>
      <c r="G7" s="33">
        <v>1</v>
      </c>
      <c r="H7" s="33">
        <v>1</v>
      </c>
      <c r="I7" s="33">
        <v>1</v>
      </c>
      <c r="J7" s="33">
        <v>1</v>
      </c>
      <c r="K7" s="33">
        <v>0</v>
      </c>
      <c r="L7" s="33">
        <v>0</v>
      </c>
      <c r="M7" s="33">
        <v>100</v>
      </c>
      <c r="N7" s="33">
        <v>0</v>
      </c>
      <c r="O7" s="33">
        <v>0</v>
      </c>
      <c r="P7" s="33">
        <v>1</v>
      </c>
      <c r="Q7" s="33">
        <v>1</v>
      </c>
      <c r="R7" s="33">
        <v>0</v>
      </c>
      <c r="S7" s="33">
        <v>0</v>
      </c>
      <c r="T7" s="33">
        <v>1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1.7</v>
      </c>
      <c r="AH7" s="33">
        <v>1.6</v>
      </c>
      <c r="AI7" s="33">
        <v>1.29</v>
      </c>
      <c r="AJ7" s="33">
        <v>0.092</v>
      </c>
      <c r="AK7" s="33">
        <v>0.18</v>
      </c>
      <c r="AL7" s="33">
        <v>1</v>
      </c>
      <c r="AM7" s="33">
        <v>1</v>
      </c>
      <c r="AN7" s="33">
        <v>0.2</v>
      </c>
      <c r="AO7" s="33">
        <v>1.5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100</v>
      </c>
      <c r="AV7" s="33">
        <v>1</v>
      </c>
      <c r="AW7" s="33">
        <v>1</v>
      </c>
      <c r="AX7" s="33">
        <v>1</v>
      </c>
    </row>
    <row r="8" spans="1:50" ht="10.5">
      <c r="A8" s="33" t="str">
        <f>'Форма по МДС 81-35.2004'!A65</f>
        <v>3.</v>
      </c>
      <c r="B8" s="33">
        <v>1</v>
      </c>
      <c r="C8" s="33">
        <v>1</v>
      </c>
      <c r="D8" s="33">
        <v>1.15</v>
      </c>
      <c r="E8" s="33">
        <v>1.15</v>
      </c>
      <c r="F8" s="33">
        <v>1.15</v>
      </c>
      <c r="G8" s="33">
        <v>1</v>
      </c>
      <c r="H8" s="33">
        <v>1</v>
      </c>
      <c r="I8" s="33">
        <v>1</v>
      </c>
      <c r="J8" s="33">
        <v>1</v>
      </c>
      <c r="K8" s="33">
        <v>0</v>
      </c>
      <c r="L8" s="33">
        <v>0</v>
      </c>
      <c r="M8" s="33">
        <v>100</v>
      </c>
      <c r="N8" s="33">
        <v>0</v>
      </c>
      <c r="O8" s="33">
        <v>0</v>
      </c>
      <c r="P8" s="33">
        <v>1</v>
      </c>
      <c r="Q8" s="33">
        <v>1</v>
      </c>
      <c r="R8" s="33">
        <v>0</v>
      </c>
      <c r="S8" s="33">
        <v>0</v>
      </c>
      <c r="T8" s="33">
        <v>1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1.7</v>
      </c>
      <c r="AH8" s="33">
        <v>1.6</v>
      </c>
      <c r="AI8" s="33">
        <v>1.29</v>
      </c>
      <c r="AJ8" s="33">
        <v>0.092</v>
      </c>
      <c r="AK8" s="33">
        <v>0.18</v>
      </c>
      <c r="AL8" s="33">
        <v>1</v>
      </c>
      <c r="AM8" s="33">
        <v>1</v>
      </c>
      <c r="AN8" s="33">
        <v>0.2</v>
      </c>
      <c r="AO8" s="33">
        <v>1.5</v>
      </c>
      <c r="AP8" s="33">
        <v>1</v>
      </c>
      <c r="AQ8" s="33">
        <v>1</v>
      </c>
      <c r="AR8" s="33">
        <v>1</v>
      </c>
      <c r="AS8" s="33">
        <v>1</v>
      </c>
      <c r="AT8" s="33">
        <v>1</v>
      </c>
      <c r="AU8" s="33">
        <v>100</v>
      </c>
      <c r="AV8" s="33">
        <v>1</v>
      </c>
      <c r="AW8" s="33">
        <v>1</v>
      </c>
      <c r="AX8" s="33">
        <v>1</v>
      </c>
    </row>
    <row r="9" spans="1:50" ht="10.5">
      <c r="A9" s="33" t="str">
        <f>'Форма по МДС 81-35.2004'!A96</f>
        <v>4.</v>
      </c>
      <c r="B9" s="33">
        <v>1</v>
      </c>
      <c r="C9" s="33">
        <v>1</v>
      </c>
      <c r="D9" s="33">
        <v>1.426</v>
      </c>
      <c r="E9" s="33">
        <v>1.426</v>
      </c>
      <c r="F9" s="33">
        <v>1.426</v>
      </c>
      <c r="G9" s="33">
        <v>1</v>
      </c>
      <c r="H9" s="33">
        <v>1</v>
      </c>
      <c r="I9" s="33">
        <v>1</v>
      </c>
      <c r="J9" s="33">
        <v>1</v>
      </c>
      <c r="K9" s="33">
        <v>0</v>
      </c>
      <c r="L9" s="33">
        <v>0</v>
      </c>
      <c r="M9" s="33">
        <v>100</v>
      </c>
      <c r="N9" s="33">
        <v>0</v>
      </c>
      <c r="O9" s="33">
        <v>0</v>
      </c>
      <c r="P9" s="33">
        <v>1</v>
      </c>
      <c r="Q9" s="33">
        <v>1</v>
      </c>
      <c r="R9" s="33">
        <v>0</v>
      </c>
      <c r="S9" s="33">
        <v>0</v>
      </c>
      <c r="T9" s="33">
        <v>1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1.7</v>
      </c>
      <c r="AH9" s="33">
        <v>1.6</v>
      </c>
      <c r="AI9" s="33">
        <v>1.29</v>
      </c>
      <c r="AJ9" s="33">
        <v>0.092</v>
      </c>
      <c r="AK9" s="33">
        <v>0.18</v>
      </c>
      <c r="AL9" s="33">
        <v>1</v>
      </c>
      <c r="AM9" s="33">
        <v>1</v>
      </c>
      <c r="AN9" s="33">
        <v>0.2</v>
      </c>
      <c r="AO9" s="33">
        <v>1.5</v>
      </c>
      <c r="AP9" s="33">
        <v>1</v>
      </c>
      <c r="AQ9" s="33">
        <v>1</v>
      </c>
      <c r="AR9" s="33">
        <v>1</v>
      </c>
      <c r="AS9" s="33">
        <v>1</v>
      </c>
      <c r="AT9" s="33">
        <v>1</v>
      </c>
      <c r="AU9" s="33">
        <v>100</v>
      </c>
      <c r="AV9" s="33">
        <v>1</v>
      </c>
      <c r="AW9" s="33">
        <v>1</v>
      </c>
      <c r="AX9" s="33">
        <v>1</v>
      </c>
    </row>
    <row r="10" spans="1:50" ht="10.5">
      <c r="A10" s="33" t="str">
        <f>'Форма по МДС 81-35.2004'!A116</f>
        <v>5.</v>
      </c>
      <c r="B10" s="33">
        <v>1</v>
      </c>
      <c r="C10" s="33">
        <v>1</v>
      </c>
      <c r="D10" s="33">
        <v>1.15</v>
      </c>
      <c r="E10" s="33">
        <v>1.15</v>
      </c>
      <c r="F10" s="33">
        <v>1.15</v>
      </c>
      <c r="G10" s="33">
        <v>1</v>
      </c>
      <c r="H10" s="33">
        <v>1</v>
      </c>
      <c r="I10" s="33">
        <v>1</v>
      </c>
      <c r="J10" s="33">
        <v>1</v>
      </c>
      <c r="K10" s="33">
        <v>0</v>
      </c>
      <c r="L10" s="33">
        <v>0</v>
      </c>
      <c r="M10" s="33">
        <v>100</v>
      </c>
      <c r="N10" s="33">
        <v>0</v>
      </c>
      <c r="O10" s="33">
        <v>0</v>
      </c>
      <c r="P10" s="33">
        <v>1</v>
      </c>
      <c r="Q10" s="33">
        <v>1</v>
      </c>
      <c r="R10" s="33">
        <v>0</v>
      </c>
      <c r="S10" s="33">
        <v>0</v>
      </c>
      <c r="T10" s="33">
        <v>1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1.7</v>
      </c>
      <c r="AH10" s="33">
        <v>1.6</v>
      </c>
      <c r="AI10" s="33">
        <v>1.29</v>
      </c>
      <c r="AJ10" s="33">
        <v>0.092</v>
      </c>
      <c r="AK10" s="33">
        <v>0.18</v>
      </c>
      <c r="AL10" s="33">
        <v>1</v>
      </c>
      <c r="AM10" s="33">
        <v>1</v>
      </c>
      <c r="AN10" s="33">
        <v>0.2</v>
      </c>
      <c r="AO10" s="33">
        <v>1.5</v>
      </c>
      <c r="AP10" s="33">
        <v>1</v>
      </c>
      <c r="AQ10" s="33">
        <v>1</v>
      </c>
      <c r="AR10" s="33">
        <v>1</v>
      </c>
      <c r="AS10" s="33">
        <v>1</v>
      </c>
      <c r="AT10" s="33">
        <v>1</v>
      </c>
      <c r="AU10" s="33">
        <v>100</v>
      </c>
      <c r="AV10" s="33">
        <v>1</v>
      </c>
      <c r="AW10" s="33">
        <v>1</v>
      </c>
      <c r="AX10" s="33">
        <v>1</v>
      </c>
    </row>
    <row r="11" spans="1:50" ht="10.5">
      <c r="A11" s="33" t="str">
        <f>'Форма по МДС 81-35.2004'!A135</f>
        <v>6.</v>
      </c>
      <c r="B11" s="33">
        <v>1</v>
      </c>
      <c r="C11" s="33">
        <v>1</v>
      </c>
      <c r="D11" s="33">
        <v>1.15</v>
      </c>
      <c r="E11" s="33">
        <v>1.15</v>
      </c>
      <c r="F11" s="33">
        <v>1.15</v>
      </c>
      <c r="G11" s="33">
        <v>1</v>
      </c>
      <c r="H11" s="33">
        <v>1</v>
      </c>
      <c r="I11" s="33">
        <v>1</v>
      </c>
      <c r="J11" s="33">
        <v>1</v>
      </c>
      <c r="K11" s="33">
        <v>0</v>
      </c>
      <c r="L11" s="33">
        <v>0</v>
      </c>
      <c r="M11" s="33">
        <v>100</v>
      </c>
      <c r="N11" s="33">
        <v>0</v>
      </c>
      <c r="O11" s="33">
        <v>0</v>
      </c>
      <c r="P11" s="33">
        <v>1</v>
      </c>
      <c r="Q11" s="33">
        <v>1</v>
      </c>
      <c r="R11" s="33">
        <v>0</v>
      </c>
      <c r="S11" s="33">
        <v>0</v>
      </c>
      <c r="T11" s="33">
        <v>1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1.7</v>
      </c>
      <c r="AH11" s="33">
        <v>1.6</v>
      </c>
      <c r="AI11" s="33">
        <v>1.29</v>
      </c>
      <c r="AJ11" s="33">
        <v>0.092</v>
      </c>
      <c r="AK11" s="33">
        <v>0.18</v>
      </c>
      <c r="AL11" s="33">
        <v>1</v>
      </c>
      <c r="AM11" s="33">
        <v>1</v>
      </c>
      <c r="AN11" s="33">
        <v>0.2</v>
      </c>
      <c r="AO11" s="33">
        <v>1.5</v>
      </c>
      <c r="AP11" s="33">
        <v>1</v>
      </c>
      <c r="AQ11" s="33">
        <v>1</v>
      </c>
      <c r="AR11" s="33">
        <v>1</v>
      </c>
      <c r="AS11" s="33">
        <v>1</v>
      </c>
      <c r="AT11" s="33">
        <v>1</v>
      </c>
      <c r="AU11" s="33">
        <v>100</v>
      </c>
      <c r="AV11" s="33">
        <v>1</v>
      </c>
      <c r="AW11" s="33">
        <v>1</v>
      </c>
      <c r="AX11" s="33">
        <v>1</v>
      </c>
    </row>
    <row r="12" spans="1:50" ht="10.5">
      <c r="A12" s="33" t="str">
        <f>'Форма по МДС 81-35.2004'!A168</f>
        <v>7.</v>
      </c>
      <c r="B12" s="33">
        <v>1</v>
      </c>
      <c r="C12" s="33">
        <v>1</v>
      </c>
      <c r="D12" s="33">
        <v>1.15</v>
      </c>
      <c r="E12" s="33">
        <v>1.15</v>
      </c>
      <c r="F12" s="33">
        <v>1.15</v>
      </c>
      <c r="G12" s="33">
        <v>1</v>
      </c>
      <c r="H12" s="33">
        <v>1</v>
      </c>
      <c r="I12" s="33">
        <v>1</v>
      </c>
      <c r="J12" s="33">
        <v>1</v>
      </c>
      <c r="K12" s="33">
        <v>0</v>
      </c>
      <c r="L12" s="33">
        <v>0</v>
      </c>
      <c r="M12" s="33">
        <v>100</v>
      </c>
      <c r="N12" s="33">
        <v>0</v>
      </c>
      <c r="O12" s="33">
        <v>0</v>
      </c>
      <c r="P12" s="33">
        <v>1</v>
      </c>
      <c r="Q12" s="33">
        <v>1</v>
      </c>
      <c r="R12" s="33">
        <v>0</v>
      </c>
      <c r="S12" s="33">
        <v>0</v>
      </c>
      <c r="T12" s="33">
        <v>1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1.7</v>
      </c>
      <c r="AH12" s="33">
        <v>1.6</v>
      </c>
      <c r="AI12" s="33">
        <v>1.29</v>
      </c>
      <c r="AJ12" s="33">
        <v>0.092</v>
      </c>
      <c r="AK12" s="33">
        <v>0.18</v>
      </c>
      <c r="AL12" s="33">
        <v>1</v>
      </c>
      <c r="AM12" s="33">
        <v>1</v>
      </c>
      <c r="AN12" s="33">
        <v>0.2</v>
      </c>
      <c r="AO12" s="33">
        <v>1.5</v>
      </c>
      <c r="AP12" s="33">
        <v>1</v>
      </c>
      <c r="AQ12" s="33">
        <v>1</v>
      </c>
      <c r="AR12" s="33">
        <v>1</v>
      </c>
      <c r="AS12" s="33">
        <v>1</v>
      </c>
      <c r="AT12" s="33">
        <v>1</v>
      </c>
      <c r="AU12" s="33">
        <v>100</v>
      </c>
      <c r="AV12" s="33">
        <v>1</v>
      </c>
      <c r="AW12" s="33">
        <v>1</v>
      </c>
      <c r="AX12" s="33">
        <v>1</v>
      </c>
    </row>
    <row r="13" spans="1:50" ht="10.5">
      <c r="A13" s="33" t="str">
        <f>'Форма по МДС 81-35.2004'!A212</f>
        <v>8.</v>
      </c>
      <c r="B13" s="33">
        <v>1</v>
      </c>
      <c r="C13" s="33">
        <v>1</v>
      </c>
      <c r="D13" s="33">
        <v>1.15</v>
      </c>
      <c r="E13" s="33">
        <v>1.15</v>
      </c>
      <c r="F13" s="33">
        <v>1.15</v>
      </c>
      <c r="G13" s="33">
        <v>1</v>
      </c>
      <c r="H13" s="33">
        <v>1</v>
      </c>
      <c r="I13" s="33">
        <v>1</v>
      </c>
      <c r="J13" s="33">
        <v>1</v>
      </c>
      <c r="K13" s="33">
        <v>0</v>
      </c>
      <c r="L13" s="33">
        <v>0</v>
      </c>
      <c r="M13" s="33">
        <v>100</v>
      </c>
      <c r="N13" s="33">
        <v>0</v>
      </c>
      <c r="O13" s="33">
        <v>0</v>
      </c>
      <c r="P13" s="33">
        <v>1</v>
      </c>
      <c r="Q13" s="33">
        <v>1</v>
      </c>
      <c r="R13" s="33">
        <v>0</v>
      </c>
      <c r="S13" s="33">
        <v>0</v>
      </c>
      <c r="T13" s="33">
        <v>1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1.7</v>
      </c>
      <c r="AH13" s="33">
        <v>1.6</v>
      </c>
      <c r="AI13" s="33">
        <v>1.29</v>
      </c>
      <c r="AJ13" s="33">
        <v>0.092</v>
      </c>
      <c r="AK13" s="33">
        <v>0.18</v>
      </c>
      <c r="AL13" s="33">
        <v>1</v>
      </c>
      <c r="AM13" s="33">
        <v>1</v>
      </c>
      <c r="AN13" s="33">
        <v>0.2</v>
      </c>
      <c r="AO13" s="33">
        <v>1.5</v>
      </c>
      <c r="AP13" s="33">
        <v>1</v>
      </c>
      <c r="AQ13" s="33">
        <v>1</v>
      </c>
      <c r="AR13" s="33">
        <v>1</v>
      </c>
      <c r="AS13" s="33">
        <v>1</v>
      </c>
      <c r="AT13" s="33">
        <v>1</v>
      </c>
      <c r="AU13" s="33">
        <v>100</v>
      </c>
      <c r="AV13" s="33">
        <v>1</v>
      </c>
      <c r="AW13" s="33">
        <v>1</v>
      </c>
      <c r="AX13" s="33">
        <v>1</v>
      </c>
    </row>
    <row r="14" spans="1:50" ht="10.5">
      <c r="A14" s="33" t="str">
        <f>'Форма по МДС 81-35.2004'!A232</f>
        <v>9.</v>
      </c>
      <c r="B14" s="33">
        <v>1</v>
      </c>
      <c r="C14" s="33">
        <v>1</v>
      </c>
      <c r="D14" s="33">
        <v>0.6</v>
      </c>
      <c r="E14" s="33">
        <v>0.6</v>
      </c>
      <c r="F14" s="33">
        <v>0.6</v>
      </c>
      <c r="G14" s="33">
        <v>1</v>
      </c>
      <c r="H14" s="33">
        <v>1</v>
      </c>
      <c r="I14" s="33">
        <v>1</v>
      </c>
      <c r="J14" s="33">
        <v>1</v>
      </c>
      <c r="K14" s="33">
        <v>0</v>
      </c>
      <c r="L14" s="33">
        <v>0</v>
      </c>
      <c r="M14" s="33">
        <v>100</v>
      </c>
      <c r="N14" s="33">
        <v>0</v>
      </c>
      <c r="O14" s="33">
        <v>0</v>
      </c>
      <c r="P14" s="33">
        <v>1</v>
      </c>
      <c r="Q14" s="33">
        <v>1</v>
      </c>
      <c r="R14" s="33">
        <v>0</v>
      </c>
      <c r="S14" s="33">
        <v>0</v>
      </c>
      <c r="T14" s="33">
        <v>1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1.7</v>
      </c>
      <c r="AH14" s="33">
        <v>1.6</v>
      </c>
      <c r="AI14" s="33">
        <v>1.29</v>
      </c>
      <c r="AJ14" s="33">
        <v>0.092</v>
      </c>
      <c r="AK14" s="33">
        <v>0.18</v>
      </c>
      <c r="AL14" s="33">
        <v>1</v>
      </c>
      <c r="AM14" s="33">
        <v>1</v>
      </c>
      <c r="AN14" s="33">
        <v>0.2</v>
      </c>
      <c r="AO14" s="33">
        <v>1.5</v>
      </c>
      <c r="AP14" s="33">
        <v>1</v>
      </c>
      <c r="AQ14" s="33">
        <v>1</v>
      </c>
      <c r="AR14" s="33">
        <v>1</v>
      </c>
      <c r="AS14" s="33">
        <v>1</v>
      </c>
      <c r="AT14" s="33">
        <v>1</v>
      </c>
      <c r="AU14" s="33">
        <v>100</v>
      </c>
      <c r="AV14" s="33">
        <v>1</v>
      </c>
      <c r="AW14" s="33">
        <v>1</v>
      </c>
      <c r="AX14" s="33">
        <v>1</v>
      </c>
    </row>
    <row r="15" spans="1:50" ht="10.5">
      <c r="A15" s="33" t="str">
        <f>'Форма по МДС 81-35.2004'!A270</f>
        <v>10.</v>
      </c>
      <c r="B15" s="33">
        <v>1</v>
      </c>
      <c r="C15" s="33">
        <v>1</v>
      </c>
      <c r="D15" s="33">
        <v>1.15</v>
      </c>
      <c r="E15" s="33">
        <v>1.15</v>
      </c>
      <c r="F15" s="33">
        <v>1.15</v>
      </c>
      <c r="G15" s="33">
        <v>1</v>
      </c>
      <c r="H15" s="33">
        <v>1</v>
      </c>
      <c r="I15" s="33">
        <v>1</v>
      </c>
      <c r="J15" s="33">
        <v>1</v>
      </c>
      <c r="K15" s="33">
        <v>0</v>
      </c>
      <c r="L15" s="33">
        <v>0</v>
      </c>
      <c r="M15" s="33">
        <v>100</v>
      </c>
      <c r="N15" s="33">
        <v>0</v>
      </c>
      <c r="O15" s="33">
        <v>0</v>
      </c>
      <c r="P15" s="33">
        <v>1</v>
      </c>
      <c r="Q15" s="33">
        <v>1</v>
      </c>
      <c r="R15" s="33">
        <v>0</v>
      </c>
      <c r="S15" s="33">
        <v>0</v>
      </c>
      <c r="T15" s="33">
        <v>1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1.7</v>
      </c>
      <c r="AH15" s="33">
        <v>1.6</v>
      </c>
      <c r="AI15" s="33">
        <v>1.29</v>
      </c>
      <c r="AJ15" s="33">
        <v>0.092</v>
      </c>
      <c r="AK15" s="33">
        <v>0.18</v>
      </c>
      <c r="AL15" s="33">
        <v>1</v>
      </c>
      <c r="AM15" s="33">
        <v>1</v>
      </c>
      <c r="AN15" s="33">
        <v>0.2</v>
      </c>
      <c r="AO15" s="33">
        <v>1.5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100</v>
      </c>
      <c r="AV15" s="33">
        <v>1</v>
      </c>
      <c r="AW15" s="33">
        <v>1</v>
      </c>
      <c r="AX15" s="33">
        <v>1</v>
      </c>
    </row>
    <row r="16" spans="1:50" ht="10.5">
      <c r="A16" s="33" t="str">
        <f>'Форма по МДС 81-35.2004'!A304</f>
        <v>11.</v>
      </c>
      <c r="B16" s="33">
        <v>1</v>
      </c>
      <c r="C16" s="33">
        <v>1</v>
      </c>
      <c r="D16" s="33">
        <v>1.15</v>
      </c>
      <c r="E16" s="33">
        <v>1.15</v>
      </c>
      <c r="F16" s="33">
        <v>1.15</v>
      </c>
      <c r="G16" s="33">
        <v>1</v>
      </c>
      <c r="H16" s="33">
        <v>1</v>
      </c>
      <c r="I16" s="33">
        <v>1</v>
      </c>
      <c r="J16" s="33">
        <v>1</v>
      </c>
      <c r="K16" s="33">
        <v>0</v>
      </c>
      <c r="L16" s="33">
        <v>0</v>
      </c>
      <c r="M16" s="33">
        <v>100</v>
      </c>
      <c r="N16" s="33">
        <v>0</v>
      </c>
      <c r="O16" s="33">
        <v>0</v>
      </c>
      <c r="P16" s="33">
        <v>1</v>
      </c>
      <c r="Q16" s="33">
        <v>1</v>
      </c>
      <c r="R16" s="33">
        <v>0</v>
      </c>
      <c r="S16" s="33">
        <v>0</v>
      </c>
      <c r="T16" s="33">
        <v>1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1.7</v>
      </c>
      <c r="AH16" s="33">
        <v>1.6</v>
      </c>
      <c r="AI16" s="33">
        <v>1.29</v>
      </c>
      <c r="AJ16" s="33">
        <v>0.092</v>
      </c>
      <c r="AK16" s="33">
        <v>0.18</v>
      </c>
      <c r="AL16" s="33">
        <v>1</v>
      </c>
      <c r="AM16" s="33">
        <v>1</v>
      </c>
      <c r="AN16" s="33">
        <v>0.2</v>
      </c>
      <c r="AO16" s="33">
        <v>1.5</v>
      </c>
      <c r="AP16" s="33">
        <v>1</v>
      </c>
      <c r="AQ16" s="33">
        <v>1</v>
      </c>
      <c r="AR16" s="33">
        <v>1</v>
      </c>
      <c r="AS16" s="33">
        <v>1</v>
      </c>
      <c r="AT16" s="33">
        <v>1</v>
      </c>
      <c r="AU16" s="33">
        <v>100</v>
      </c>
      <c r="AV16" s="33">
        <v>1</v>
      </c>
      <c r="AW16" s="33">
        <v>1</v>
      </c>
      <c r="AX16" s="33">
        <v>1</v>
      </c>
    </row>
    <row r="17" spans="1:50" ht="10.5">
      <c r="A17" s="33" t="str">
        <f>'Форма по МДС 81-35.2004'!A322</f>
        <v>12.</v>
      </c>
      <c r="B17" s="33">
        <v>1</v>
      </c>
      <c r="C17" s="33">
        <v>1</v>
      </c>
      <c r="D17" s="33">
        <v>1.15</v>
      </c>
      <c r="E17" s="33">
        <v>1.15</v>
      </c>
      <c r="F17" s="33">
        <v>1.15</v>
      </c>
      <c r="G17" s="33">
        <v>1</v>
      </c>
      <c r="H17" s="33">
        <v>1</v>
      </c>
      <c r="I17" s="33">
        <v>1</v>
      </c>
      <c r="J17" s="33">
        <v>1</v>
      </c>
      <c r="K17" s="33">
        <v>0</v>
      </c>
      <c r="L17" s="33">
        <v>0</v>
      </c>
      <c r="M17" s="33">
        <v>100</v>
      </c>
      <c r="N17" s="33">
        <v>0</v>
      </c>
      <c r="O17" s="33">
        <v>0</v>
      </c>
      <c r="P17" s="33">
        <v>1</v>
      </c>
      <c r="Q17" s="33">
        <v>1</v>
      </c>
      <c r="R17" s="33">
        <v>0</v>
      </c>
      <c r="S17" s="33">
        <v>0</v>
      </c>
      <c r="T17" s="33">
        <v>1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1.7</v>
      </c>
      <c r="AH17" s="33">
        <v>1.6</v>
      </c>
      <c r="AI17" s="33">
        <v>1.29</v>
      </c>
      <c r="AJ17" s="33">
        <v>0.092</v>
      </c>
      <c r="AK17" s="33">
        <v>0.18</v>
      </c>
      <c r="AL17" s="33">
        <v>1</v>
      </c>
      <c r="AM17" s="33">
        <v>1</v>
      </c>
      <c r="AN17" s="33">
        <v>0.2</v>
      </c>
      <c r="AO17" s="33">
        <v>1.5</v>
      </c>
      <c r="AP17" s="33">
        <v>1</v>
      </c>
      <c r="AQ17" s="33">
        <v>1</v>
      </c>
      <c r="AR17" s="33">
        <v>1</v>
      </c>
      <c r="AS17" s="33">
        <v>1</v>
      </c>
      <c r="AT17" s="33">
        <v>1</v>
      </c>
      <c r="AU17" s="33">
        <v>100</v>
      </c>
      <c r="AV17" s="33">
        <v>1</v>
      </c>
      <c r="AW17" s="33">
        <v>1</v>
      </c>
      <c r="AX17" s="33">
        <v>1</v>
      </c>
    </row>
    <row r="18" spans="1:50" ht="10.5">
      <c r="A18" s="33" t="str">
        <f>'Форма по МДС 81-35.2004'!A340</f>
        <v>13.</v>
      </c>
      <c r="B18" s="33">
        <v>1</v>
      </c>
      <c r="C18" s="33">
        <v>1</v>
      </c>
      <c r="D18" s="33">
        <v>1.15</v>
      </c>
      <c r="E18" s="33">
        <v>1.15</v>
      </c>
      <c r="F18" s="33">
        <v>1.15</v>
      </c>
      <c r="G18" s="33">
        <v>1</v>
      </c>
      <c r="H18" s="33">
        <v>1</v>
      </c>
      <c r="I18" s="33">
        <v>1</v>
      </c>
      <c r="J18" s="33">
        <v>1</v>
      </c>
      <c r="K18" s="33">
        <v>0</v>
      </c>
      <c r="L18" s="33">
        <v>0</v>
      </c>
      <c r="M18" s="33">
        <v>100</v>
      </c>
      <c r="N18" s="33">
        <v>0</v>
      </c>
      <c r="O18" s="33">
        <v>0</v>
      </c>
      <c r="P18" s="33">
        <v>1</v>
      </c>
      <c r="Q18" s="33">
        <v>1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1.7</v>
      </c>
      <c r="AH18" s="33">
        <v>1.6</v>
      </c>
      <c r="AI18" s="33">
        <v>1.29</v>
      </c>
      <c r="AJ18" s="33">
        <v>0.092</v>
      </c>
      <c r="AK18" s="33">
        <v>0.18</v>
      </c>
      <c r="AL18" s="33">
        <v>1</v>
      </c>
      <c r="AM18" s="33">
        <v>1</v>
      </c>
      <c r="AN18" s="33">
        <v>0.2</v>
      </c>
      <c r="AO18" s="33">
        <v>1.5</v>
      </c>
      <c r="AP18" s="33">
        <v>1</v>
      </c>
      <c r="AQ18" s="33">
        <v>1</v>
      </c>
      <c r="AR18" s="33">
        <v>1</v>
      </c>
      <c r="AS18" s="33">
        <v>1</v>
      </c>
      <c r="AT18" s="33">
        <v>1</v>
      </c>
      <c r="AU18" s="33">
        <v>100</v>
      </c>
      <c r="AV18" s="33">
        <v>1</v>
      </c>
      <c r="AW18" s="33">
        <v>1</v>
      </c>
      <c r="AX18" s="33">
        <v>1</v>
      </c>
    </row>
    <row r="19" spans="1:50" ht="10.5">
      <c r="A19" s="33" t="str">
        <f>'Форма по МДС 81-35.2004'!A358</f>
        <v>14.</v>
      </c>
      <c r="B19" s="33">
        <v>1</v>
      </c>
      <c r="C19" s="33">
        <v>1</v>
      </c>
      <c r="D19" s="33">
        <v>1.15</v>
      </c>
      <c r="E19" s="33">
        <v>1.15</v>
      </c>
      <c r="F19" s="33">
        <v>1.15</v>
      </c>
      <c r="G19" s="33">
        <v>1</v>
      </c>
      <c r="H19" s="33">
        <v>1</v>
      </c>
      <c r="I19" s="33">
        <v>1</v>
      </c>
      <c r="J19" s="33">
        <v>1</v>
      </c>
      <c r="K19" s="33">
        <v>0</v>
      </c>
      <c r="L19" s="33">
        <v>0</v>
      </c>
      <c r="M19" s="33">
        <v>100</v>
      </c>
      <c r="N19" s="33">
        <v>0</v>
      </c>
      <c r="O19" s="33">
        <v>0</v>
      </c>
      <c r="P19" s="33">
        <v>1</v>
      </c>
      <c r="Q19" s="33">
        <v>1</v>
      </c>
      <c r="R19" s="33">
        <v>0</v>
      </c>
      <c r="S19" s="33">
        <v>0</v>
      </c>
      <c r="T19" s="33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1.7</v>
      </c>
      <c r="AH19" s="33">
        <v>1.6</v>
      </c>
      <c r="AI19" s="33">
        <v>1.29</v>
      </c>
      <c r="AJ19" s="33">
        <v>0.092</v>
      </c>
      <c r="AK19" s="33">
        <v>0.18</v>
      </c>
      <c r="AL19" s="33">
        <v>1</v>
      </c>
      <c r="AM19" s="33">
        <v>1</v>
      </c>
      <c r="AN19" s="33">
        <v>0.2</v>
      </c>
      <c r="AO19" s="33">
        <v>1.5</v>
      </c>
      <c r="AP19" s="33">
        <v>1</v>
      </c>
      <c r="AQ19" s="33">
        <v>1</v>
      </c>
      <c r="AR19" s="33">
        <v>1</v>
      </c>
      <c r="AS19" s="33">
        <v>1</v>
      </c>
      <c r="AT19" s="33">
        <v>1</v>
      </c>
      <c r="AU19" s="33">
        <v>100</v>
      </c>
      <c r="AV19" s="33">
        <v>1</v>
      </c>
      <c r="AW19" s="33">
        <v>1</v>
      </c>
      <c r="AX19" s="33">
        <v>1</v>
      </c>
    </row>
    <row r="20" spans="1:50" ht="10.5">
      <c r="A20" s="33" t="str">
        <f>'Форма по МДС 81-35.2004'!A376</f>
        <v>15.</v>
      </c>
      <c r="B20" s="33">
        <v>1</v>
      </c>
      <c r="C20" s="33">
        <v>1</v>
      </c>
      <c r="D20" s="33">
        <v>1.15</v>
      </c>
      <c r="E20" s="33">
        <v>1.15</v>
      </c>
      <c r="F20" s="33">
        <v>1.15</v>
      </c>
      <c r="G20" s="33">
        <v>1</v>
      </c>
      <c r="H20" s="33">
        <v>1</v>
      </c>
      <c r="I20" s="33">
        <v>1</v>
      </c>
      <c r="J20" s="33">
        <v>1</v>
      </c>
      <c r="K20" s="33">
        <v>0</v>
      </c>
      <c r="L20" s="33">
        <v>0</v>
      </c>
      <c r="M20" s="33">
        <v>100</v>
      </c>
      <c r="N20" s="33">
        <v>0</v>
      </c>
      <c r="O20" s="33">
        <v>0</v>
      </c>
      <c r="P20" s="33">
        <v>1</v>
      </c>
      <c r="Q20" s="33">
        <v>1</v>
      </c>
      <c r="R20" s="33">
        <v>0</v>
      </c>
      <c r="S20" s="33">
        <v>0</v>
      </c>
      <c r="T20" s="33">
        <v>1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1.7</v>
      </c>
      <c r="AH20" s="33">
        <v>1.6</v>
      </c>
      <c r="AI20" s="33">
        <v>1.29</v>
      </c>
      <c r="AJ20" s="33">
        <v>0.092</v>
      </c>
      <c r="AK20" s="33">
        <v>0.18</v>
      </c>
      <c r="AL20" s="33">
        <v>1</v>
      </c>
      <c r="AM20" s="33">
        <v>1</v>
      </c>
      <c r="AN20" s="33">
        <v>0.2</v>
      </c>
      <c r="AO20" s="33">
        <v>1.5</v>
      </c>
      <c r="AP20" s="33">
        <v>1</v>
      </c>
      <c r="AQ20" s="33">
        <v>1</v>
      </c>
      <c r="AR20" s="33">
        <v>1</v>
      </c>
      <c r="AS20" s="33">
        <v>1</v>
      </c>
      <c r="AT20" s="33">
        <v>1</v>
      </c>
      <c r="AU20" s="33">
        <v>100</v>
      </c>
      <c r="AV20" s="33">
        <v>1</v>
      </c>
      <c r="AW20" s="33">
        <v>1</v>
      </c>
      <c r="AX20" s="33">
        <v>1</v>
      </c>
    </row>
    <row r="21" spans="1:50" ht="10.5">
      <c r="A21" s="33" t="str">
        <f>'Форма по МДС 81-35.2004'!A394</f>
        <v>16.</v>
      </c>
      <c r="B21" s="33">
        <v>1</v>
      </c>
      <c r="C21" s="33">
        <v>1</v>
      </c>
      <c r="D21" s="33">
        <v>1.15</v>
      </c>
      <c r="E21" s="33">
        <v>1.15</v>
      </c>
      <c r="F21" s="33">
        <v>1.15</v>
      </c>
      <c r="G21" s="33">
        <v>1</v>
      </c>
      <c r="H21" s="33">
        <v>1</v>
      </c>
      <c r="I21" s="33">
        <v>1</v>
      </c>
      <c r="J21" s="33">
        <v>1</v>
      </c>
      <c r="K21" s="33">
        <v>0</v>
      </c>
      <c r="L21" s="33">
        <v>0</v>
      </c>
      <c r="M21" s="33">
        <v>100</v>
      </c>
      <c r="N21" s="33">
        <v>0</v>
      </c>
      <c r="O21" s="33">
        <v>0</v>
      </c>
      <c r="P21" s="33">
        <v>1</v>
      </c>
      <c r="Q21" s="33">
        <v>1</v>
      </c>
      <c r="R21" s="33">
        <v>0</v>
      </c>
      <c r="S21" s="33">
        <v>0</v>
      </c>
      <c r="T21" s="33">
        <v>1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1.7</v>
      </c>
      <c r="AH21" s="33">
        <v>1.6</v>
      </c>
      <c r="AI21" s="33">
        <v>1.29</v>
      </c>
      <c r="AJ21" s="33">
        <v>0.092</v>
      </c>
      <c r="AK21" s="33">
        <v>0.18</v>
      </c>
      <c r="AL21" s="33">
        <v>1</v>
      </c>
      <c r="AM21" s="33">
        <v>1</v>
      </c>
      <c r="AN21" s="33">
        <v>0.2</v>
      </c>
      <c r="AO21" s="33">
        <v>1.5</v>
      </c>
      <c r="AP21" s="33">
        <v>1</v>
      </c>
      <c r="AQ21" s="33">
        <v>1</v>
      </c>
      <c r="AR21" s="33">
        <v>1</v>
      </c>
      <c r="AS21" s="33">
        <v>1</v>
      </c>
      <c r="AT21" s="33">
        <v>1</v>
      </c>
      <c r="AU21" s="33">
        <v>100</v>
      </c>
      <c r="AV21" s="33">
        <v>1</v>
      </c>
      <c r="AW21" s="33">
        <v>1</v>
      </c>
      <c r="AX21" s="33">
        <v>1</v>
      </c>
    </row>
    <row r="22" spans="1:50" ht="10.5">
      <c r="A22" s="33" t="str">
        <f>'Форма по МДС 81-35.2004'!A412</f>
        <v>17.</v>
      </c>
      <c r="B22" s="33">
        <v>1</v>
      </c>
      <c r="C22" s="33">
        <v>1</v>
      </c>
      <c r="D22" s="33">
        <v>1.15</v>
      </c>
      <c r="E22" s="33">
        <v>1.15</v>
      </c>
      <c r="F22" s="33">
        <v>1.15</v>
      </c>
      <c r="G22" s="33">
        <v>1</v>
      </c>
      <c r="H22" s="33">
        <v>1</v>
      </c>
      <c r="I22" s="33">
        <v>1</v>
      </c>
      <c r="J22" s="33">
        <v>1</v>
      </c>
      <c r="K22" s="33">
        <v>0</v>
      </c>
      <c r="L22" s="33">
        <v>0</v>
      </c>
      <c r="M22" s="33">
        <v>100</v>
      </c>
      <c r="N22" s="33">
        <v>0</v>
      </c>
      <c r="O22" s="33">
        <v>0</v>
      </c>
      <c r="P22" s="33">
        <v>1</v>
      </c>
      <c r="Q22" s="33">
        <v>1</v>
      </c>
      <c r="R22" s="33">
        <v>0</v>
      </c>
      <c r="S22" s="33">
        <v>0</v>
      </c>
      <c r="T22" s="33">
        <v>1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1.7</v>
      </c>
      <c r="AH22" s="33">
        <v>1.6</v>
      </c>
      <c r="AI22" s="33">
        <v>1.29</v>
      </c>
      <c r="AJ22" s="33">
        <v>0.092</v>
      </c>
      <c r="AK22" s="33">
        <v>0.18</v>
      </c>
      <c r="AL22" s="33">
        <v>1</v>
      </c>
      <c r="AM22" s="33">
        <v>1</v>
      </c>
      <c r="AN22" s="33">
        <v>0.2</v>
      </c>
      <c r="AO22" s="33">
        <v>1.5</v>
      </c>
      <c r="AP22" s="33">
        <v>1</v>
      </c>
      <c r="AQ22" s="33">
        <v>1</v>
      </c>
      <c r="AR22" s="33">
        <v>1</v>
      </c>
      <c r="AS22" s="33">
        <v>1</v>
      </c>
      <c r="AT22" s="33">
        <v>1</v>
      </c>
      <c r="AU22" s="33">
        <v>100</v>
      </c>
      <c r="AV22" s="33">
        <v>1</v>
      </c>
      <c r="AW22" s="33">
        <v>1</v>
      </c>
      <c r="AX22" s="33">
        <v>1</v>
      </c>
    </row>
    <row r="23" spans="1:50" ht="10.5">
      <c r="A23" s="33" t="str">
        <f>'Форма по МДС 81-35.2004'!A430</f>
        <v>18.</v>
      </c>
      <c r="B23" s="33">
        <v>1</v>
      </c>
      <c r="C23" s="33">
        <v>1</v>
      </c>
      <c r="D23" s="33">
        <v>1.15</v>
      </c>
      <c r="E23" s="33">
        <v>1.15</v>
      </c>
      <c r="F23" s="33">
        <v>1.15</v>
      </c>
      <c r="G23" s="33">
        <v>1</v>
      </c>
      <c r="H23" s="33">
        <v>1</v>
      </c>
      <c r="I23" s="33">
        <v>1</v>
      </c>
      <c r="J23" s="33">
        <v>1</v>
      </c>
      <c r="K23" s="33">
        <v>0</v>
      </c>
      <c r="L23" s="33">
        <v>0</v>
      </c>
      <c r="M23" s="33">
        <v>100</v>
      </c>
      <c r="N23" s="33">
        <v>0</v>
      </c>
      <c r="O23" s="33">
        <v>0</v>
      </c>
      <c r="P23" s="33">
        <v>1</v>
      </c>
      <c r="Q23" s="33">
        <v>1</v>
      </c>
      <c r="R23" s="33">
        <v>0</v>
      </c>
      <c r="S23" s="33">
        <v>0</v>
      </c>
      <c r="T23" s="33">
        <v>1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1.7</v>
      </c>
      <c r="AH23" s="33">
        <v>1.6</v>
      </c>
      <c r="AI23" s="33">
        <v>1.29</v>
      </c>
      <c r="AJ23" s="33">
        <v>0.092</v>
      </c>
      <c r="AK23" s="33">
        <v>0.18</v>
      </c>
      <c r="AL23" s="33">
        <v>1</v>
      </c>
      <c r="AM23" s="33">
        <v>1</v>
      </c>
      <c r="AN23" s="33">
        <v>0.2</v>
      </c>
      <c r="AO23" s="33">
        <v>1.5</v>
      </c>
      <c r="AP23" s="33">
        <v>1</v>
      </c>
      <c r="AQ23" s="33">
        <v>1</v>
      </c>
      <c r="AR23" s="33">
        <v>1</v>
      </c>
      <c r="AS23" s="33">
        <v>1</v>
      </c>
      <c r="AT23" s="33">
        <v>1</v>
      </c>
      <c r="AU23" s="33">
        <v>100</v>
      </c>
      <c r="AV23" s="33">
        <v>1</v>
      </c>
      <c r="AW23" s="33">
        <v>1</v>
      </c>
      <c r="AX23" s="33">
        <v>1</v>
      </c>
    </row>
    <row r="24" spans="1:50" ht="10.5">
      <c r="A24" s="33" t="str">
        <f>'Форма по МДС 81-35.2004'!A448</f>
        <v>19.</v>
      </c>
      <c r="B24" s="33">
        <v>1</v>
      </c>
      <c r="C24" s="33">
        <v>1</v>
      </c>
      <c r="D24" s="33">
        <v>1.15</v>
      </c>
      <c r="E24" s="33">
        <v>1.15</v>
      </c>
      <c r="F24" s="33">
        <v>1.15</v>
      </c>
      <c r="G24" s="33">
        <v>1</v>
      </c>
      <c r="H24" s="33">
        <v>1</v>
      </c>
      <c r="I24" s="33">
        <v>1</v>
      </c>
      <c r="J24" s="33">
        <v>1</v>
      </c>
      <c r="K24" s="33">
        <v>0</v>
      </c>
      <c r="L24" s="33">
        <v>0</v>
      </c>
      <c r="M24" s="33">
        <v>100</v>
      </c>
      <c r="N24" s="33">
        <v>0</v>
      </c>
      <c r="O24" s="33">
        <v>0</v>
      </c>
      <c r="P24" s="33">
        <v>1</v>
      </c>
      <c r="Q24" s="33">
        <v>1</v>
      </c>
      <c r="R24" s="33">
        <v>0</v>
      </c>
      <c r="S24" s="33">
        <v>0</v>
      </c>
      <c r="T24" s="33">
        <v>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1.7</v>
      </c>
      <c r="AH24" s="33">
        <v>1.6</v>
      </c>
      <c r="AI24" s="33">
        <v>1.29</v>
      </c>
      <c r="AJ24" s="33">
        <v>0.092</v>
      </c>
      <c r="AK24" s="33">
        <v>0.18</v>
      </c>
      <c r="AL24" s="33">
        <v>1</v>
      </c>
      <c r="AM24" s="33">
        <v>1</v>
      </c>
      <c r="AN24" s="33">
        <v>0.2</v>
      </c>
      <c r="AO24" s="33">
        <v>1.5</v>
      </c>
      <c r="AP24" s="33">
        <v>1</v>
      </c>
      <c r="AQ24" s="33">
        <v>1</v>
      </c>
      <c r="AR24" s="33">
        <v>1</v>
      </c>
      <c r="AS24" s="33">
        <v>1</v>
      </c>
      <c r="AT24" s="33">
        <v>1</v>
      </c>
      <c r="AU24" s="33">
        <v>100</v>
      </c>
      <c r="AV24" s="33">
        <v>1</v>
      </c>
      <c r="AW24" s="33">
        <v>1</v>
      </c>
      <c r="AX24" s="33">
        <v>1</v>
      </c>
    </row>
    <row r="25" spans="1:50" ht="10.5">
      <c r="A25" s="33" t="str">
        <f>'Форма по МДС 81-35.2004'!A466</f>
        <v>20.</v>
      </c>
      <c r="B25" s="33">
        <v>1</v>
      </c>
      <c r="C25" s="33">
        <v>1</v>
      </c>
      <c r="D25" s="33">
        <v>1.15</v>
      </c>
      <c r="E25" s="33">
        <v>1.15</v>
      </c>
      <c r="F25" s="33">
        <v>1.15</v>
      </c>
      <c r="G25" s="33">
        <v>1</v>
      </c>
      <c r="H25" s="33">
        <v>1</v>
      </c>
      <c r="I25" s="33">
        <v>1</v>
      </c>
      <c r="J25" s="33">
        <v>1</v>
      </c>
      <c r="K25" s="33">
        <v>0</v>
      </c>
      <c r="L25" s="33">
        <v>0</v>
      </c>
      <c r="M25" s="33">
        <v>100</v>
      </c>
      <c r="N25" s="33">
        <v>0</v>
      </c>
      <c r="O25" s="33">
        <v>0</v>
      </c>
      <c r="P25" s="33">
        <v>1</v>
      </c>
      <c r="Q25" s="33">
        <v>1</v>
      </c>
      <c r="R25" s="33">
        <v>0</v>
      </c>
      <c r="S25" s="33">
        <v>0</v>
      </c>
      <c r="T25" s="33">
        <v>1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1.7</v>
      </c>
      <c r="AH25" s="33">
        <v>1.6</v>
      </c>
      <c r="AI25" s="33">
        <v>1.29</v>
      </c>
      <c r="AJ25" s="33">
        <v>0.092</v>
      </c>
      <c r="AK25" s="33">
        <v>0.18</v>
      </c>
      <c r="AL25" s="33">
        <v>1</v>
      </c>
      <c r="AM25" s="33">
        <v>1</v>
      </c>
      <c r="AN25" s="33">
        <v>0.2</v>
      </c>
      <c r="AO25" s="33">
        <v>1.5</v>
      </c>
      <c r="AP25" s="33">
        <v>1</v>
      </c>
      <c r="AQ25" s="33">
        <v>1</v>
      </c>
      <c r="AR25" s="33">
        <v>1</v>
      </c>
      <c r="AS25" s="33">
        <v>1</v>
      </c>
      <c r="AT25" s="33">
        <v>1</v>
      </c>
      <c r="AU25" s="33">
        <v>100</v>
      </c>
      <c r="AV25" s="33">
        <v>1</v>
      </c>
      <c r="AW25" s="33">
        <v>1</v>
      </c>
      <c r="AX25" s="33">
        <v>1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J2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2" customWidth="1"/>
    <col min="2" max="16384" width="9.140625" style="41" customWidth="1"/>
  </cols>
  <sheetData>
    <row r="1" spans="2:10" s="39" customFormat="1" ht="10.5">
      <c r="B1" s="39" t="s">
        <v>500</v>
      </c>
      <c r="C1" s="39" t="s">
        <v>501</v>
      </c>
      <c r="D1" s="39" t="s">
        <v>502</v>
      </c>
      <c r="E1" s="39" t="s">
        <v>503</v>
      </c>
      <c r="F1" s="39" t="s">
        <v>504</v>
      </c>
      <c r="G1" s="39" t="s">
        <v>505</v>
      </c>
      <c r="H1" s="39" t="s">
        <v>506</v>
      </c>
      <c r="I1" s="39" t="s">
        <v>507</v>
      </c>
      <c r="J1" s="39" t="s">
        <v>508</v>
      </c>
    </row>
    <row r="2" spans="1:8" ht="10.5">
      <c r="A2" s="88"/>
      <c r="B2" s="89"/>
      <c r="C2" s="89"/>
      <c r="D2" s="89"/>
      <c r="E2" s="89"/>
      <c r="F2" s="89"/>
      <c r="G2" s="89"/>
      <c r="H2" s="89"/>
    </row>
    <row r="3" spans="1:8" ht="10.5">
      <c r="A3" s="43"/>
      <c r="B3" s="90" t="s">
        <v>449</v>
      </c>
      <c r="C3" s="90"/>
      <c r="D3" s="90"/>
      <c r="E3" s="90"/>
      <c r="F3" s="90"/>
      <c r="G3" s="90"/>
      <c r="H3" s="90"/>
    </row>
    <row r="4" spans="1:8" ht="10.5">
      <c r="A4" s="43"/>
      <c r="B4" s="90" t="s">
        <v>450</v>
      </c>
      <c r="C4" s="90"/>
      <c r="D4" s="90"/>
      <c r="E4" s="90"/>
      <c r="F4" s="90"/>
      <c r="G4" s="90"/>
      <c r="H4" s="90"/>
    </row>
    <row r="5" spans="1:8" ht="10.5">
      <c r="A5" s="88"/>
      <c r="B5" s="89"/>
      <c r="C5" s="89"/>
      <c r="D5" s="89"/>
      <c r="E5" s="89"/>
      <c r="F5" s="89"/>
      <c r="G5" s="89"/>
      <c r="H5" s="89"/>
    </row>
    <row r="6" spans="1:10" ht="10.5">
      <c r="A6" s="42" t="str">
        <f>'Форма по МДС 81-35.2004'!A25</f>
        <v>1.</v>
      </c>
      <c r="B6" s="41" t="s">
        <v>509</v>
      </c>
      <c r="C6" s="41" t="s">
        <v>509</v>
      </c>
      <c r="D6" s="41" t="s">
        <v>510</v>
      </c>
      <c r="E6" s="41" t="s">
        <v>510</v>
      </c>
      <c r="F6" s="41" t="s">
        <v>309</v>
      </c>
      <c r="G6" s="41" t="s">
        <v>510</v>
      </c>
      <c r="H6" s="41" t="s">
        <v>510</v>
      </c>
      <c r="I6" s="41" t="s">
        <v>511</v>
      </c>
      <c r="J6" s="41" t="s">
        <v>510</v>
      </c>
    </row>
    <row r="7" spans="1:10" ht="10.5">
      <c r="A7" s="42" t="str">
        <f>'Форма по МДС 81-35.2004'!A45</f>
        <v>2.</v>
      </c>
      <c r="B7" s="41" t="s">
        <v>509</v>
      </c>
      <c r="C7" s="41" t="s">
        <v>509</v>
      </c>
      <c r="D7" s="41" t="s">
        <v>510</v>
      </c>
      <c r="E7" s="41" t="s">
        <v>510</v>
      </c>
      <c r="F7" s="41" t="s">
        <v>309</v>
      </c>
      <c r="G7" s="41" t="s">
        <v>510</v>
      </c>
      <c r="H7" s="41" t="s">
        <v>510</v>
      </c>
      <c r="I7" s="41" t="s">
        <v>511</v>
      </c>
      <c r="J7" s="41" t="s">
        <v>510</v>
      </c>
    </row>
    <row r="8" spans="1:10" ht="10.5">
      <c r="A8" s="42" t="str">
        <f>'Форма по МДС 81-35.2004'!A65</f>
        <v>3.</v>
      </c>
      <c r="B8" s="41" t="s">
        <v>509</v>
      </c>
      <c r="C8" s="41" t="s">
        <v>509</v>
      </c>
      <c r="D8" s="41" t="s">
        <v>510</v>
      </c>
      <c r="E8" s="41" t="s">
        <v>510</v>
      </c>
      <c r="F8" s="41" t="s">
        <v>309</v>
      </c>
      <c r="G8" s="41" t="s">
        <v>510</v>
      </c>
      <c r="H8" s="41" t="s">
        <v>510</v>
      </c>
      <c r="I8" s="41" t="s">
        <v>511</v>
      </c>
      <c r="J8" s="41" t="s">
        <v>510</v>
      </c>
    </row>
    <row r="9" spans="1:10" ht="10.5">
      <c r="A9" s="42" t="str">
        <f>'Форма по МДС 81-35.2004'!A96</f>
        <v>4.</v>
      </c>
      <c r="B9" s="41" t="s">
        <v>509</v>
      </c>
      <c r="C9" s="41" t="s">
        <v>509</v>
      </c>
      <c r="D9" s="41" t="s">
        <v>510</v>
      </c>
      <c r="E9" s="41" t="s">
        <v>510</v>
      </c>
      <c r="F9" s="41" t="s">
        <v>309</v>
      </c>
      <c r="G9" s="41" t="s">
        <v>510</v>
      </c>
      <c r="H9" s="41" t="s">
        <v>510</v>
      </c>
      <c r="I9" s="41" t="s">
        <v>511</v>
      </c>
      <c r="J9" s="41" t="s">
        <v>510</v>
      </c>
    </row>
    <row r="10" spans="1:10" ht="10.5">
      <c r="A10" s="42" t="str">
        <f>'Форма по МДС 81-35.2004'!A116</f>
        <v>5.</v>
      </c>
      <c r="B10" s="41" t="s">
        <v>509</v>
      </c>
      <c r="C10" s="41" t="s">
        <v>509</v>
      </c>
      <c r="D10" s="41" t="s">
        <v>510</v>
      </c>
      <c r="E10" s="41" t="s">
        <v>510</v>
      </c>
      <c r="F10" s="41" t="s">
        <v>309</v>
      </c>
      <c r="G10" s="41" t="s">
        <v>510</v>
      </c>
      <c r="H10" s="41" t="s">
        <v>510</v>
      </c>
      <c r="I10" s="41" t="s">
        <v>511</v>
      </c>
      <c r="J10" s="41" t="s">
        <v>510</v>
      </c>
    </row>
    <row r="11" spans="1:10" ht="10.5">
      <c r="A11" s="42" t="str">
        <f>'Форма по МДС 81-35.2004'!A135</f>
        <v>6.</v>
      </c>
      <c r="B11" s="41" t="s">
        <v>509</v>
      </c>
      <c r="C11" s="41" t="s">
        <v>509</v>
      </c>
      <c r="D11" s="41" t="s">
        <v>510</v>
      </c>
      <c r="E11" s="41" t="s">
        <v>510</v>
      </c>
      <c r="F11" s="41" t="s">
        <v>511</v>
      </c>
      <c r="G11" s="41" t="s">
        <v>510</v>
      </c>
      <c r="H11" s="41" t="s">
        <v>510</v>
      </c>
      <c r="I11" s="41" t="s">
        <v>512</v>
      </c>
      <c r="J11" s="41" t="s">
        <v>510</v>
      </c>
    </row>
    <row r="12" spans="1:10" ht="10.5">
      <c r="A12" s="42" t="str">
        <f>'Форма по МДС 81-35.2004'!A168</f>
        <v>7.</v>
      </c>
      <c r="B12" s="41" t="s">
        <v>509</v>
      </c>
      <c r="C12" s="41" t="s">
        <v>509</v>
      </c>
      <c r="D12" s="41" t="s">
        <v>510</v>
      </c>
      <c r="E12" s="41" t="s">
        <v>510</v>
      </c>
      <c r="F12" s="41" t="s">
        <v>309</v>
      </c>
      <c r="G12" s="41" t="s">
        <v>510</v>
      </c>
      <c r="H12" s="41" t="s">
        <v>510</v>
      </c>
      <c r="I12" s="41" t="s">
        <v>511</v>
      </c>
      <c r="J12" s="41" t="s">
        <v>510</v>
      </c>
    </row>
    <row r="13" spans="1:10" ht="10.5">
      <c r="A13" s="42" t="str">
        <f>'Форма по МДС 81-35.2004'!A212</f>
        <v>8.</v>
      </c>
      <c r="B13" s="41" t="s">
        <v>509</v>
      </c>
      <c r="C13" s="41" t="s">
        <v>509</v>
      </c>
      <c r="D13" s="41" t="s">
        <v>510</v>
      </c>
      <c r="E13" s="41" t="s">
        <v>510</v>
      </c>
      <c r="F13" s="41" t="s">
        <v>309</v>
      </c>
      <c r="G13" s="41" t="s">
        <v>510</v>
      </c>
      <c r="H13" s="41" t="s">
        <v>510</v>
      </c>
      <c r="I13" s="41" t="s">
        <v>511</v>
      </c>
      <c r="J13" s="41" t="s">
        <v>510</v>
      </c>
    </row>
    <row r="14" spans="1:10" ht="10.5">
      <c r="A14" s="42" t="str">
        <f>'Форма по МДС 81-35.2004'!A232</f>
        <v>9.</v>
      </c>
      <c r="B14" s="41" t="s">
        <v>509</v>
      </c>
      <c r="C14" s="41" t="s">
        <v>509</v>
      </c>
      <c r="D14" s="41" t="s">
        <v>510</v>
      </c>
      <c r="E14" s="41" t="s">
        <v>510</v>
      </c>
      <c r="F14" s="41" t="s">
        <v>309</v>
      </c>
      <c r="G14" s="41" t="s">
        <v>510</v>
      </c>
      <c r="H14" s="41" t="s">
        <v>510</v>
      </c>
      <c r="I14" s="41" t="s">
        <v>511</v>
      </c>
      <c r="J14" s="41" t="s">
        <v>510</v>
      </c>
    </row>
    <row r="15" spans="1:10" ht="10.5">
      <c r="A15" s="42" t="str">
        <f>'Форма по МДС 81-35.2004'!A270</f>
        <v>10.</v>
      </c>
      <c r="B15" s="41" t="s">
        <v>509</v>
      </c>
      <c r="C15" s="41" t="s">
        <v>509</v>
      </c>
      <c r="D15" s="41" t="s">
        <v>510</v>
      </c>
      <c r="E15" s="41" t="s">
        <v>510</v>
      </c>
      <c r="F15" s="41" t="s">
        <v>309</v>
      </c>
      <c r="G15" s="41" t="s">
        <v>510</v>
      </c>
      <c r="H15" s="41" t="s">
        <v>510</v>
      </c>
      <c r="I15" s="41" t="s">
        <v>511</v>
      </c>
      <c r="J15" s="41" t="s">
        <v>510</v>
      </c>
    </row>
    <row r="16" spans="1:10" ht="10.5">
      <c r="A16" s="42" t="str">
        <f>'Форма по МДС 81-35.2004'!A304</f>
        <v>11.</v>
      </c>
      <c r="B16" s="41" t="s">
        <v>509</v>
      </c>
      <c r="C16" s="41" t="s">
        <v>509</v>
      </c>
      <c r="D16" s="41" t="s">
        <v>510</v>
      </c>
      <c r="E16" s="41" t="s">
        <v>510</v>
      </c>
      <c r="F16" s="41" t="s">
        <v>309</v>
      </c>
      <c r="G16" s="41" t="s">
        <v>510</v>
      </c>
      <c r="H16" s="41" t="s">
        <v>510</v>
      </c>
      <c r="I16" s="41" t="s">
        <v>511</v>
      </c>
      <c r="J16" s="41" t="s">
        <v>510</v>
      </c>
    </row>
    <row r="17" spans="1:10" ht="10.5">
      <c r="A17" s="42" t="str">
        <f>'Форма по МДС 81-35.2004'!A322</f>
        <v>12.</v>
      </c>
      <c r="B17" s="41" t="s">
        <v>509</v>
      </c>
      <c r="C17" s="41" t="s">
        <v>509</v>
      </c>
      <c r="D17" s="41" t="s">
        <v>510</v>
      </c>
      <c r="E17" s="41" t="s">
        <v>510</v>
      </c>
      <c r="F17" s="41" t="s">
        <v>309</v>
      </c>
      <c r="G17" s="41" t="s">
        <v>510</v>
      </c>
      <c r="H17" s="41" t="s">
        <v>510</v>
      </c>
      <c r="I17" s="41" t="s">
        <v>511</v>
      </c>
      <c r="J17" s="41" t="s">
        <v>510</v>
      </c>
    </row>
    <row r="18" spans="1:10" ht="10.5">
      <c r="A18" s="42" t="str">
        <f>'Форма по МДС 81-35.2004'!A340</f>
        <v>13.</v>
      </c>
      <c r="B18" s="41" t="s">
        <v>509</v>
      </c>
      <c r="C18" s="41" t="s">
        <v>509</v>
      </c>
      <c r="D18" s="41" t="s">
        <v>510</v>
      </c>
      <c r="E18" s="41" t="s">
        <v>510</v>
      </c>
      <c r="F18" s="41" t="s">
        <v>309</v>
      </c>
      <c r="G18" s="41" t="s">
        <v>510</v>
      </c>
      <c r="H18" s="41" t="s">
        <v>510</v>
      </c>
      <c r="I18" s="41" t="s">
        <v>511</v>
      </c>
      <c r="J18" s="41" t="s">
        <v>510</v>
      </c>
    </row>
    <row r="19" spans="1:10" ht="10.5">
      <c r="A19" s="42" t="str">
        <f>'Форма по МДС 81-35.2004'!A358</f>
        <v>14.</v>
      </c>
      <c r="B19" s="41" t="s">
        <v>509</v>
      </c>
      <c r="C19" s="41" t="s">
        <v>509</v>
      </c>
      <c r="D19" s="41" t="s">
        <v>510</v>
      </c>
      <c r="E19" s="41" t="s">
        <v>510</v>
      </c>
      <c r="F19" s="41" t="s">
        <v>309</v>
      </c>
      <c r="G19" s="41" t="s">
        <v>510</v>
      </c>
      <c r="H19" s="41" t="s">
        <v>510</v>
      </c>
      <c r="I19" s="41" t="s">
        <v>511</v>
      </c>
      <c r="J19" s="41" t="s">
        <v>510</v>
      </c>
    </row>
    <row r="20" spans="1:10" ht="10.5">
      <c r="A20" s="42" t="str">
        <f>'Форма по МДС 81-35.2004'!A376</f>
        <v>15.</v>
      </c>
      <c r="B20" s="41" t="s">
        <v>509</v>
      </c>
      <c r="C20" s="41" t="s">
        <v>509</v>
      </c>
      <c r="D20" s="41" t="s">
        <v>510</v>
      </c>
      <c r="E20" s="41" t="s">
        <v>510</v>
      </c>
      <c r="F20" s="41" t="s">
        <v>309</v>
      </c>
      <c r="G20" s="41" t="s">
        <v>510</v>
      </c>
      <c r="H20" s="41" t="s">
        <v>510</v>
      </c>
      <c r="I20" s="41" t="s">
        <v>511</v>
      </c>
      <c r="J20" s="41" t="s">
        <v>510</v>
      </c>
    </row>
    <row r="21" spans="1:10" ht="10.5">
      <c r="A21" s="42" t="str">
        <f>'Форма по МДС 81-35.2004'!A394</f>
        <v>16.</v>
      </c>
      <c r="B21" s="41" t="s">
        <v>509</v>
      </c>
      <c r="C21" s="41" t="s">
        <v>509</v>
      </c>
      <c r="D21" s="41" t="s">
        <v>510</v>
      </c>
      <c r="E21" s="41" t="s">
        <v>510</v>
      </c>
      <c r="F21" s="41" t="s">
        <v>309</v>
      </c>
      <c r="G21" s="41" t="s">
        <v>510</v>
      </c>
      <c r="H21" s="41" t="s">
        <v>510</v>
      </c>
      <c r="I21" s="41" t="s">
        <v>511</v>
      </c>
      <c r="J21" s="41" t="s">
        <v>510</v>
      </c>
    </row>
    <row r="22" spans="1:10" ht="10.5">
      <c r="A22" s="42" t="str">
        <f>'Форма по МДС 81-35.2004'!A412</f>
        <v>17.</v>
      </c>
      <c r="B22" s="41" t="s">
        <v>509</v>
      </c>
      <c r="C22" s="41" t="s">
        <v>509</v>
      </c>
      <c r="D22" s="41" t="s">
        <v>510</v>
      </c>
      <c r="E22" s="41" t="s">
        <v>510</v>
      </c>
      <c r="F22" s="41" t="s">
        <v>309</v>
      </c>
      <c r="G22" s="41" t="s">
        <v>510</v>
      </c>
      <c r="H22" s="41" t="s">
        <v>510</v>
      </c>
      <c r="I22" s="41" t="s">
        <v>511</v>
      </c>
      <c r="J22" s="41" t="s">
        <v>510</v>
      </c>
    </row>
    <row r="23" spans="1:10" ht="10.5">
      <c r="A23" s="42" t="str">
        <f>'Форма по МДС 81-35.2004'!A430</f>
        <v>18.</v>
      </c>
      <c r="B23" s="41" t="s">
        <v>509</v>
      </c>
      <c r="C23" s="41" t="s">
        <v>509</v>
      </c>
      <c r="D23" s="41" t="s">
        <v>510</v>
      </c>
      <c r="E23" s="41" t="s">
        <v>510</v>
      </c>
      <c r="F23" s="41" t="s">
        <v>309</v>
      </c>
      <c r="G23" s="41" t="s">
        <v>510</v>
      </c>
      <c r="H23" s="41" t="s">
        <v>510</v>
      </c>
      <c r="I23" s="41" t="s">
        <v>511</v>
      </c>
      <c r="J23" s="41" t="s">
        <v>510</v>
      </c>
    </row>
    <row r="24" spans="1:10" ht="10.5">
      <c r="A24" s="42" t="str">
        <f>'Форма по МДС 81-35.2004'!A448</f>
        <v>19.</v>
      </c>
      <c r="B24" s="41" t="s">
        <v>509</v>
      </c>
      <c r="C24" s="41" t="s">
        <v>509</v>
      </c>
      <c r="D24" s="41" t="s">
        <v>510</v>
      </c>
      <c r="E24" s="41" t="s">
        <v>510</v>
      </c>
      <c r="F24" s="41" t="s">
        <v>309</v>
      </c>
      <c r="G24" s="41" t="s">
        <v>510</v>
      </c>
      <c r="H24" s="41" t="s">
        <v>510</v>
      </c>
      <c r="I24" s="41" t="s">
        <v>511</v>
      </c>
      <c r="J24" s="41" t="s">
        <v>510</v>
      </c>
    </row>
    <row r="25" spans="1:10" ht="10.5">
      <c r="A25" s="42" t="str">
        <f>'Форма по МДС 81-35.2004'!A466</f>
        <v>20.</v>
      </c>
      <c r="B25" s="41" t="s">
        <v>509</v>
      </c>
      <c r="C25" s="41" t="s">
        <v>509</v>
      </c>
      <c r="D25" s="41" t="s">
        <v>510</v>
      </c>
      <c r="E25" s="41" t="s">
        <v>510</v>
      </c>
      <c r="F25" s="41" t="s">
        <v>309</v>
      </c>
      <c r="G25" s="41" t="s">
        <v>510</v>
      </c>
      <c r="H25" s="41" t="s">
        <v>510</v>
      </c>
      <c r="I25" s="41" t="s">
        <v>511</v>
      </c>
      <c r="J25" s="41" t="s">
        <v>510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Econom</cp:lastModifiedBy>
  <cp:lastPrinted>2010-08-12T06:34:44Z</cp:lastPrinted>
  <dcterms:created xsi:type="dcterms:W3CDTF">2010-08-10T18:27:20Z</dcterms:created>
  <dcterms:modified xsi:type="dcterms:W3CDTF">2010-08-19T13:19:16Z</dcterms:modified>
  <cp:category/>
  <cp:version/>
  <cp:contentType/>
  <cp:contentStatus/>
</cp:coreProperties>
</file>